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tables/table1.xml" ContentType="application/vnd.openxmlformats-officedocument.spreadsheetml.table+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sugdengee.sharepoint.com/sites/SugdenGeeTeamSite/Projects/SG2141 - Climate Strategy and Action Plans/03 Permits &amp; Approvals/Calculator Template and Manuals/"/>
    </mc:Choice>
  </mc:AlternateContent>
  <xr:revisionPtr revIDLastSave="0" documentId="8_{33CF2C3E-EA28-4374-A26B-720680B270F2}" xr6:coauthVersionLast="47" xr6:coauthVersionMax="47" xr10:uidLastSave="{00000000-0000-0000-0000-000000000000}"/>
  <bookViews>
    <workbookView xWindow="4485" yWindow="180" windowWidth="14910" windowHeight="10395" tabRatio="743" activeTab="1" xr2:uid="{DFFACE41-AA6D-4A83-91AF-60DFDC2496CB}"/>
  </bookViews>
  <sheets>
    <sheet name="Introduction" sheetId="1" r:id="rId1"/>
    <sheet name="Data Input" sheetId="16" r:id="rId2"/>
    <sheet name="Summary" sheetId="2" r:id="rId3"/>
    <sheet name="Metered Electricity" sheetId="7" r:id="rId4"/>
    <sheet name="Streetlighting" sheetId="5" r:id="rId5"/>
    <sheet name="Solar" sheetId="3" r:id="rId6"/>
    <sheet name="Fuel" sheetId="4" r:id="rId7"/>
    <sheet name="Waste" sheetId="6" r:id="rId8"/>
    <sheet name="Factors and Tables" sheetId="9" r:id="rId9"/>
    <sheet name="NGER &amp; GHG Acct Factors" sheetId="11"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54" i="4" l="1"/>
  <c r="B16" i="7"/>
  <c r="M36" i="9"/>
  <c r="D36" i="9" l="1"/>
  <c r="E36" i="9" s="1"/>
  <c r="F36" i="9" s="1"/>
  <c r="G36" i="9" s="1"/>
  <c r="H36" i="9" s="1"/>
  <c r="I36" i="9" s="1"/>
  <c r="J36" i="9" s="1"/>
  <c r="K36" i="9" s="1"/>
  <c r="L36" i="9" s="1"/>
  <c r="C36" i="9"/>
  <c r="B36" i="9" l="1"/>
  <c r="F59" i="16"/>
  <c r="G59" i="16"/>
  <c r="H59" i="16"/>
  <c r="I59" i="16"/>
  <c r="J59" i="16"/>
  <c r="K59" i="16"/>
  <c r="L59" i="16"/>
  <c r="M59" i="16"/>
  <c r="N59" i="16"/>
  <c r="O59" i="16"/>
  <c r="P59" i="16"/>
  <c r="E59" i="16"/>
  <c r="C34" i="9"/>
  <c r="D34" i="9"/>
  <c r="E34" i="9"/>
  <c r="F34" i="9"/>
  <c r="G34" i="9"/>
  <c r="H34" i="9"/>
  <c r="I34" i="9"/>
  <c r="J34" i="9"/>
  <c r="K34" i="9"/>
  <c r="L34" i="9"/>
  <c r="M34" i="9"/>
  <c r="B34" i="9"/>
  <c r="A31" i="5"/>
  <c r="B31" i="5"/>
  <c r="A32" i="5"/>
  <c r="B32" i="5"/>
  <c r="A33" i="5"/>
  <c r="B33" i="5"/>
  <c r="A34" i="5"/>
  <c r="B34" i="5"/>
  <c r="A35" i="5"/>
  <c r="B35" i="5"/>
  <c r="A36" i="5"/>
  <c r="B36" i="5"/>
  <c r="A37" i="5"/>
  <c r="B37" i="5"/>
  <c r="A38" i="5"/>
  <c r="B38" i="5"/>
  <c r="A39" i="5"/>
  <c r="B39" i="5"/>
  <c r="A40" i="5"/>
  <c r="B40" i="5"/>
  <c r="A41" i="5"/>
  <c r="B41" i="5"/>
  <c r="A42" i="5"/>
  <c r="B42" i="5"/>
  <c r="A43" i="5"/>
  <c r="B43" i="5"/>
  <c r="A44" i="5"/>
  <c r="B44" i="5"/>
  <c r="A45" i="5"/>
  <c r="B45" i="5"/>
  <c r="A46" i="5"/>
  <c r="B46" i="5"/>
  <c r="A47" i="5"/>
  <c r="B47" i="5"/>
  <c r="A48" i="5"/>
  <c r="B48" i="5"/>
  <c r="A49" i="5"/>
  <c r="B49" i="5"/>
  <c r="A50" i="5"/>
  <c r="B50" i="5"/>
  <c r="A51" i="5"/>
  <c r="B51" i="5"/>
  <c r="A52" i="5"/>
  <c r="B52" i="5"/>
  <c r="A53" i="5"/>
  <c r="B53" i="5"/>
  <c r="A54" i="5"/>
  <c r="B54" i="5"/>
  <c r="A55" i="5"/>
  <c r="B55" i="5"/>
  <c r="A56" i="5"/>
  <c r="B56" i="5"/>
  <c r="A57" i="5"/>
  <c r="B57" i="5"/>
  <c r="A58" i="5"/>
  <c r="B58" i="5"/>
  <c r="A59" i="5"/>
  <c r="B59" i="5"/>
  <c r="A60" i="5"/>
  <c r="B60" i="5"/>
  <c r="A61" i="5"/>
  <c r="B61" i="5"/>
  <c r="A62" i="5"/>
  <c r="B62" i="5"/>
  <c r="A63" i="5"/>
  <c r="B63" i="5"/>
  <c r="A64" i="5"/>
  <c r="B64" i="5"/>
  <c r="A65" i="5"/>
  <c r="B65" i="5"/>
  <c r="A66" i="5"/>
  <c r="B66" i="5"/>
  <c r="A67" i="5"/>
  <c r="B67" i="5"/>
  <c r="A68" i="5"/>
  <c r="B68" i="5"/>
  <c r="A69" i="5"/>
  <c r="B69" i="5"/>
  <c r="A70" i="5"/>
  <c r="B70" i="5"/>
  <c r="A71" i="5"/>
  <c r="B71" i="5"/>
  <c r="B30" i="5"/>
  <c r="A30" i="5"/>
  <c r="F60" i="16" l="1"/>
  <c r="E60" i="16"/>
  <c r="B22" i="2"/>
  <c r="B53" i="6"/>
  <c r="B54" i="6"/>
  <c r="B55" i="6"/>
  <c r="B56" i="6"/>
  <c r="B57" i="6"/>
  <c r="B58" i="6"/>
  <c r="B59" i="6"/>
  <c r="B60" i="6"/>
  <c r="B61" i="6"/>
  <c r="B52" i="6"/>
  <c r="B55" i="4"/>
  <c r="B51" i="4"/>
  <c r="B52" i="4"/>
  <c r="B53" i="4"/>
  <c r="B50" i="4"/>
  <c r="C17" i="4"/>
  <c r="C18" i="4"/>
  <c r="C19" i="4"/>
  <c r="C20" i="4"/>
  <c r="C16" i="4"/>
  <c r="B10" i="3"/>
  <c r="C31" i="5"/>
  <c r="D31" i="5" s="1"/>
  <c r="E31" i="5" s="1"/>
  <c r="F31" i="5" s="1"/>
  <c r="G31" i="5" s="1"/>
  <c r="H31" i="5" s="1"/>
  <c r="I31" i="5" s="1"/>
  <c r="J31" i="5" s="1"/>
  <c r="K31" i="5" s="1"/>
  <c r="L31" i="5" s="1"/>
  <c r="M31" i="5" s="1"/>
  <c r="N31" i="5" s="1"/>
  <c r="C32" i="5"/>
  <c r="D32" i="5" s="1"/>
  <c r="E32" i="5" s="1"/>
  <c r="F32" i="5" s="1"/>
  <c r="G32" i="5" s="1"/>
  <c r="H32" i="5" s="1"/>
  <c r="I32" i="5" s="1"/>
  <c r="J32" i="5" s="1"/>
  <c r="K32" i="5" s="1"/>
  <c r="L32" i="5" s="1"/>
  <c r="M32" i="5" s="1"/>
  <c r="N32" i="5" s="1"/>
  <c r="C33" i="5"/>
  <c r="D33" i="5" s="1"/>
  <c r="E33" i="5" s="1"/>
  <c r="F33" i="5" s="1"/>
  <c r="G33" i="5" s="1"/>
  <c r="H33" i="5" s="1"/>
  <c r="I33" i="5" s="1"/>
  <c r="J33" i="5" s="1"/>
  <c r="K33" i="5" s="1"/>
  <c r="L33" i="5" s="1"/>
  <c r="M33" i="5" s="1"/>
  <c r="N33" i="5" s="1"/>
  <c r="C34" i="5"/>
  <c r="D34" i="5" s="1"/>
  <c r="E34" i="5" s="1"/>
  <c r="F34" i="5" s="1"/>
  <c r="G34" i="5" s="1"/>
  <c r="H34" i="5" s="1"/>
  <c r="I34" i="5" s="1"/>
  <c r="J34" i="5" s="1"/>
  <c r="K34" i="5" s="1"/>
  <c r="L34" i="5" s="1"/>
  <c r="M34" i="5" s="1"/>
  <c r="N34" i="5" s="1"/>
  <c r="C35" i="5"/>
  <c r="D35" i="5" s="1"/>
  <c r="E35" i="5" s="1"/>
  <c r="F35" i="5" s="1"/>
  <c r="G35" i="5" s="1"/>
  <c r="H35" i="5" s="1"/>
  <c r="I35" i="5" s="1"/>
  <c r="J35" i="5" s="1"/>
  <c r="K35" i="5" s="1"/>
  <c r="L35" i="5" s="1"/>
  <c r="M35" i="5" s="1"/>
  <c r="N35" i="5" s="1"/>
  <c r="C36" i="5"/>
  <c r="D36" i="5" s="1"/>
  <c r="E36" i="5" s="1"/>
  <c r="F36" i="5" s="1"/>
  <c r="G36" i="5" s="1"/>
  <c r="H36" i="5" s="1"/>
  <c r="I36" i="5" s="1"/>
  <c r="J36" i="5" s="1"/>
  <c r="K36" i="5" s="1"/>
  <c r="L36" i="5" s="1"/>
  <c r="M36" i="5" s="1"/>
  <c r="N36" i="5" s="1"/>
  <c r="C37" i="5"/>
  <c r="D37" i="5" s="1"/>
  <c r="E37" i="5" s="1"/>
  <c r="F37" i="5" s="1"/>
  <c r="G37" i="5" s="1"/>
  <c r="H37" i="5" s="1"/>
  <c r="I37" i="5" s="1"/>
  <c r="J37" i="5" s="1"/>
  <c r="K37" i="5" s="1"/>
  <c r="L37" i="5" s="1"/>
  <c r="M37" i="5" s="1"/>
  <c r="N37" i="5" s="1"/>
  <c r="C38" i="5"/>
  <c r="D38" i="5" s="1"/>
  <c r="E38" i="5" s="1"/>
  <c r="F38" i="5" s="1"/>
  <c r="G38" i="5" s="1"/>
  <c r="H38" i="5" s="1"/>
  <c r="I38" i="5" s="1"/>
  <c r="J38" i="5" s="1"/>
  <c r="K38" i="5" s="1"/>
  <c r="L38" i="5" s="1"/>
  <c r="M38" i="5" s="1"/>
  <c r="N38" i="5" s="1"/>
  <c r="C39" i="5"/>
  <c r="D39" i="5" s="1"/>
  <c r="E39" i="5" s="1"/>
  <c r="F39" i="5" s="1"/>
  <c r="G39" i="5" s="1"/>
  <c r="H39" i="5" s="1"/>
  <c r="I39" i="5" s="1"/>
  <c r="J39" i="5" s="1"/>
  <c r="K39" i="5" s="1"/>
  <c r="L39" i="5" s="1"/>
  <c r="M39" i="5" s="1"/>
  <c r="N39" i="5" s="1"/>
  <c r="C40" i="5"/>
  <c r="D40" i="5" s="1"/>
  <c r="E40" i="5" s="1"/>
  <c r="F40" i="5" s="1"/>
  <c r="G40" i="5" s="1"/>
  <c r="H40" i="5" s="1"/>
  <c r="I40" i="5" s="1"/>
  <c r="J40" i="5" s="1"/>
  <c r="K40" i="5" s="1"/>
  <c r="L40" i="5" s="1"/>
  <c r="M40" i="5" s="1"/>
  <c r="N40" i="5" s="1"/>
  <c r="C41" i="5"/>
  <c r="D41" i="5" s="1"/>
  <c r="E41" i="5" s="1"/>
  <c r="F41" i="5" s="1"/>
  <c r="G41" i="5" s="1"/>
  <c r="H41" i="5" s="1"/>
  <c r="I41" i="5" s="1"/>
  <c r="J41" i="5" s="1"/>
  <c r="K41" i="5" s="1"/>
  <c r="L41" i="5" s="1"/>
  <c r="M41" i="5" s="1"/>
  <c r="N41" i="5" s="1"/>
  <c r="C42" i="5"/>
  <c r="D42" i="5" s="1"/>
  <c r="E42" i="5" s="1"/>
  <c r="F42" i="5" s="1"/>
  <c r="G42" i="5" s="1"/>
  <c r="H42" i="5" s="1"/>
  <c r="I42" i="5" s="1"/>
  <c r="J42" i="5" s="1"/>
  <c r="K42" i="5" s="1"/>
  <c r="L42" i="5" s="1"/>
  <c r="M42" i="5" s="1"/>
  <c r="N42" i="5" s="1"/>
  <c r="C43" i="5"/>
  <c r="D43" i="5" s="1"/>
  <c r="E43" i="5" s="1"/>
  <c r="F43" i="5" s="1"/>
  <c r="G43" i="5" s="1"/>
  <c r="H43" i="5" s="1"/>
  <c r="I43" i="5" s="1"/>
  <c r="J43" i="5" s="1"/>
  <c r="K43" i="5" s="1"/>
  <c r="L43" i="5" s="1"/>
  <c r="M43" i="5" s="1"/>
  <c r="N43" i="5" s="1"/>
  <c r="C44" i="5"/>
  <c r="D44" i="5" s="1"/>
  <c r="E44" i="5" s="1"/>
  <c r="F44" i="5" s="1"/>
  <c r="G44" i="5" s="1"/>
  <c r="H44" i="5" s="1"/>
  <c r="I44" i="5" s="1"/>
  <c r="J44" i="5" s="1"/>
  <c r="K44" i="5" s="1"/>
  <c r="L44" i="5" s="1"/>
  <c r="M44" i="5" s="1"/>
  <c r="N44" i="5" s="1"/>
  <c r="C45" i="5"/>
  <c r="D45" i="5" s="1"/>
  <c r="E45" i="5" s="1"/>
  <c r="F45" i="5" s="1"/>
  <c r="G45" i="5" s="1"/>
  <c r="H45" i="5" s="1"/>
  <c r="I45" i="5" s="1"/>
  <c r="J45" i="5" s="1"/>
  <c r="K45" i="5" s="1"/>
  <c r="L45" i="5" s="1"/>
  <c r="M45" i="5" s="1"/>
  <c r="N45" i="5" s="1"/>
  <c r="C46" i="5"/>
  <c r="D46" i="5" s="1"/>
  <c r="E46" i="5" s="1"/>
  <c r="F46" i="5" s="1"/>
  <c r="G46" i="5" s="1"/>
  <c r="H46" i="5" s="1"/>
  <c r="I46" i="5" s="1"/>
  <c r="J46" i="5" s="1"/>
  <c r="K46" i="5" s="1"/>
  <c r="L46" i="5" s="1"/>
  <c r="M46" i="5" s="1"/>
  <c r="N46" i="5" s="1"/>
  <c r="C47" i="5"/>
  <c r="D47" i="5" s="1"/>
  <c r="E47" i="5" s="1"/>
  <c r="F47" i="5" s="1"/>
  <c r="G47" i="5" s="1"/>
  <c r="H47" i="5" s="1"/>
  <c r="I47" i="5" s="1"/>
  <c r="J47" i="5" s="1"/>
  <c r="K47" i="5" s="1"/>
  <c r="L47" i="5" s="1"/>
  <c r="M47" i="5" s="1"/>
  <c r="N47" i="5" s="1"/>
  <c r="C48" i="5"/>
  <c r="D48" i="5" s="1"/>
  <c r="E48" i="5" s="1"/>
  <c r="F48" i="5" s="1"/>
  <c r="G48" i="5" s="1"/>
  <c r="H48" i="5" s="1"/>
  <c r="I48" i="5" s="1"/>
  <c r="J48" i="5" s="1"/>
  <c r="K48" i="5" s="1"/>
  <c r="L48" i="5" s="1"/>
  <c r="M48" i="5" s="1"/>
  <c r="N48" i="5" s="1"/>
  <c r="C49" i="5"/>
  <c r="D49" i="5" s="1"/>
  <c r="E49" i="5" s="1"/>
  <c r="F49" i="5" s="1"/>
  <c r="G49" i="5" s="1"/>
  <c r="H49" i="5" s="1"/>
  <c r="I49" i="5" s="1"/>
  <c r="J49" i="5" s="1"/>
  <c r="K49" i="5" s="1"/>
  <c r="L49" i="5" s="1"/>
  <c r="M49" i="5" s="1"/>
  <c r="N49" i="5" s="1"/>
  <c r="C50" i="5"/>
  <c r="D50" i="5" s="1"/>
  <c r="E50" i="5" s="1"/>
  <c r="F50" i="5" s="1"/>
  <c r="G50" i="5" s="1"/>
  <c r="H50" i="5" s="1"/>
  <c r="I50" i="5" s="1"/>
  <c r="J50" i="5" s="1"/>
  <c r="K50" i="5" s="1"/>
  <c r="L50" i="5" s="1"/>
  <c r="M50" i="5" s="1"/>
  <c r="N50" i="5" s="1"/>
  <c r="C51" i="5"/>
  <c r="D51" i="5" s="1"/>
  <c r="E51" i="5" s="1"/>
  <c r="F51" i="5" s="1"/>
  <c r="G51" i="5" s="1"/>
  <c r="H51" i="5" s="1"/>
  <c r="I51" i="5" s="1"/>
  <c r="J51" i="5" s="1"/>
  <c r="K51" i="5" s="1"/>
  <c r="L51" i="5" s="1"/>
  <c r="M51" i="5" s="1"/>
  <c r="N51" i="5" s="1"/>
  <c r="C52" i="5"/>
  <c r="D52" i="5" s="1"/>
  <c r="E52" i="5" s="1"/>
  <c r="F52" i="5" s="1"/>
  <c r="G52" i="5" s="1"/>
  <c r="H52" i="5" s="1"/>
  <c r="I52" i="5" s="1"/>
  <c r="J52" i="5" s="1"/>
  <c r="K52" i="5" s="1"/>
  <c r="L52" i="5" s="1"/>
  <c r="M52" i="5" s="1"/>
  <c r="N52" i="5" s="1"/>
  <c r="C53" i="5"/>
  <c r="D53" i="5" s="1"/>
  <c r="E53" i="5" s="1"/>
  <c r="F53" i="5" s="1"/>
  <c r="G53" i="5" s="1"/>
  <c r="H53" i="5" s="1"/>
  <c r="I53" i="5" s="1"/>
  <c r="J53" i="5" s="1"/>
  <c r="K53" i="5" s="1"/>
  <c r="L53" i="5" s="1"/>
  <c r="M53" i="5" s="1"/>
  <c r="N53" i="5" s="1"/>
  <c r="C54" i="5"/>
  <c r="D54" i="5" s="1"/>
  <c r="E54" i="5" s="1"/>
  <c r="F54" i="5" s="1"/>
  <c r="G54" i="5" s="1"/>
  <c r="H54" i="5" s="1"/>
  <c r="I54" i="5" s="1"/>
  <c r="J54" i="5" s="1"/>
  <c r="K54" i="5" s="1"/>
  <c r="L54" i="5" s="1"/>
  <c r="M54" i="5" s="1"/>
  <c r="N54" i="5" s="1"/>
  <c r="C55" i="5"/>
  <c r="D55" i="5" s="1"/>
  <c r="E55" i="5" s="1"/>
  <c r="F55" i="5" s="1"/>
  <c r="G55" i="5" s="1"/>
  <c r="H55" i="5" s="1"/>
  <c r="I55" i="5" s="1"/>
  <c r="J55" i="5" s="1"/>
  <c r="K55" i="5" s="1"/>
  <c r="L55" i="5" s="1"/>
  <c r="M55" i="5" s="1"/>
  <c r="N55" i="5" s="1"/>
  <c r="C56" i="5"/>
  <c r="D56" i="5" s="1"/>
  <c r="E56" i="5" s="1"/>
  <c r="F56" i="5" s="1"/>
  <c r="G56" i="5" s="1"/>
  <c r="H56" i="5" s="1"/>
  <c r="I56" i="5" s="1"/>
  <c r="J56" i="5" s="1"/>
  <c r="K56" i="5" s="1"/>
  <c r="L56" i="5" s="1"/>
  <c r="M56" i="5" s="1"/>
  <c r="N56" i="5" s="1"/>
  <c r="C57" i="5"/>
  <c r="D57" i="5" s="1"/>
  <c r="E57" i="5" s="1"/>
  <c r="F57" i="5" s="1"/>
  <c r="G57" i="5" s="1"/>
  <c r="H57" i="5" s="1"/>
  <c r="I57" i="5" s="1"/>
  <c r="J57" i="5" s="1"/>
  <c r="K57" i="5" s="1"/>
  <c r="L57" i="5" s="1"/>
  <c r="M57" i="5" s="1"/>
  <c r="N57" i="5" s="1"/>
  <c r="C58" i="5"/>
  <c r="D58" i="5" s="1"/>
  <c r="E58" i="5" s="1"/>
  <c r="F58" i="5" s="1"/>
  <c r="G58" i="5" s="1"/>
  <c r="H58" i="5" s="1"/>
  <c r="I58" i="5" s="1"/>
  <c r="J58" i="5" s="1"/>
  <c r="K58" i="5" s="1"/>
  <c r="L58" i="5" s="1"/>
  <c r="M58" i="5" s="1"/>
  <c r="N58" i="5" s="1"/>
  <c r="C59" i="5"/>
  <c r="D59" i="5" s="1"/>
  <c r="E59" i="5" s="1"/>
  <c r="F59" i="5" s="1"/>
  <c r="G59" i="5" s="1"/>
  <c r="H59" i="5" s="1"/>
  <c r="I59" i="5" s="1"/>
  <c r="J59" i="5" s="1"/>
  <c r="K59" i="5" s="1"/>
  <c r="L59" i="5" s="1"/>
  <c r="M59" i="5" s="1"/>
  <c r="N59" i="5" s="1"/>
  <c r="C60" i="5"/>
  <c r="D60" i="5" s="1"/>
  <c r="E60" i="5" s="1"/>
  <c r="F60" i="5" s="1"/>
  <c r="G60" i="5" s="1"/>
  <c r="H60" i="5" s="1"/>
  <c r="I60" i="5" s="1"/>
  <c r="J60" i="5" s="1"/>
  <c r="K60" i="5" s="1"/>
  <c r="L60" i="5" s="1"/>
  <c r="M60" i="5" s="1"/>
  <c r="N60" i="5" s="1"/>
  <c r="C61" i="5"/>
  <c r="D61" i="5" s="1"/>
  <c r="E61" i="5" s="1"/>
  <c r="F61" i="5" s="1"/>
  <c r="G61" i="5" s="1"/>
  <c r="H61" i="5" s="1"/>
  <c r="I61" i="5" s="1"/>
  <c r="J61" i="5" s="1"/>
  <c r="K61" i="5" s="1"/>
  <c r="L61" i="5" s="1"/>
  <c r="M61" i="5" s="1"/>
  <c r="N61" i="5" s="1"/>
  <c r="C62" i="5"/>
  <c r="D62" i="5" s="1"/>
  <c r="E62" i="5" s="1"/>
  <c r="F62" i="5" s="1"/>
  <c r="G62" i="5" s="1"/>
  <c r="H62" i="5" s="1"/>
  <c r="I62" i="5" s="1"/>
  <c r="J62" i="5" s="1"/>
  <c r="K62" i="5" s="1"/>
  <c r="L62" i="5" s="1"/>
  <c r="M62" i="5" s="1"/>
  <c r="N62" i="5" s="1"/>
  <c r="C63" i="5"/>
  <c r="D63" i="5" s="1"/>
  <c r="E63" i="5" s="1"/>
  <c r="F63" i="5" s="1"/>
  <c r="G63" i="5" s="1"/>
  <c r="H63" i="5" s="1"/>
  <c r="I63" i="5" s="1"/>
  <c r="J63" i="5" s="1"/>
  <c r="K63" i="5" s="1"/>
  <c r="L63" i="5" s="1"/>
  <c r="M63" i="5" s="1"/>
  <c r="N63" i="5" s="1"/>
  <c r="C64" i="5"/>
  <c r="D64" i="5" s="1"/>
  <c r="E64" i="5" s="1"/>
  <c r="F64" i="5" s="1"/>
  <c r="G64" i="5" s="1"/>
  <c r="H64" i="5" s="1"/>
  <c r="I64" i="5" s="1"/>
  <c r="J64" i="5" s="1"/>
  <c r="K64" i="5" s="1"/>
  <c r="L64" i="5" s="1"/>
  <c r="M64" i="5" s="1"/>
  <c r="N64" i="5" s="1"/>
  <c r="C65" i="5"/>
  <c r="D65" i="5" s="1"/>
  <c r="E65" i="5" s="1"/>
  <c r="F65" i="5" s="1"/>
  <c r="G65" i="5" s="1"/>
  <c r="H65" i="5" s="1"/>
  <c r="I65" i="5" s="1"/>
  <c r="J65" i="5" s="1"/>
  <c r="K65" i="5" s="1"/>
  <c r="L65" i="5" s="1"/>
  <c r="M65" i="5" s="1"/>
  <c r="N65" i="5" s="1"/>
  <c r="C66" i="5"/>
  <c r="D66" i="5" s="1"/>
  <c r="E66" i="5" s="1"/>
  <c r="F66" i="5" s="1"/>
  <c r="G66" i="5" s="1"/>
  <c r="H66" i="5" s="1"/>
  <c r="I66" i="5" s="1"/>
  <c r="J66" i="5" s="1"/>
  <c r="K66" i="5" s="1"/>
  <c r="L66" i="5" s="1"/>
  <c r="M66" i="5" s="1"/>
  <c r="N66" i="5" s="1"/>
  <c r="C67" i="5"/>
  <c r="D67" i="5" s="1"/>
  <c r="E67" i="5" s="1"/>
  <c r="F67" i="5" s="1"/>
  <c r="G67" i="5" s="1"/>
  <c r="H67" i="5" s="1"/>
  <c r="I67" i="5" s="1"/>
  <c r="J67" i="5" s="1"/>
  <c r="K67" i="5" s="1"/>
  <c r="L67" i="5" s="1"/>
  <c r="M67" i="5" s="1"/>
  <c r="N67" i="5" s="1"/>
  <c r="C68" i="5"/>
  <c r="D68" i="5" s="1"/>
  <c r="E68" i="5" s="1"/>
  <c r="F68" i="5" s="1"/>
  <c r="G68" i="5" s="1"/>
  <c r="H68" i="5" s="1"/>
  <c r="I68" i="5" s="1"/>
  <c r="J68" i="5" s="1"/>
  <c r="K68" i="5" s="1"/>
  <c r="L68" i="5" s="1"/>
  <c r="M68" i="5" s="1"/>
  <c r="N68" i="5" s="1"/>
  <c r="C69" i="5"/>
  <c r="D69" i="5" s="1"/>
  <c r="E69" i="5" s="1"/>
  <c r="F69" i="5" s="1"/>
  <c r="G69" i="5" s="1"/>
  <c r="H69" i="5" s="1"/>
  <c r="I69" i="5" s="1"/>
  <c r="J69" i="5" s="1"/>
  <c r="K69" i="5" s="1"/>
  <c r="L69" i="5" s="1"/>
  <c r="M69" i="5" s="1"/>
  <c r="N69" i="5" s="1"/>
  <c r="C70" i="5"/>
  <c r="D70" i="5" s="1"/>
  <c r="E70" i="5" s="1"/>
  <c r="F70" i="5" s="1"/>
  <c r="G70" i="5" s="1"/>
  <c r="H70" i="5" s="1"/>
  <c r="I70" i="5" s="1"/>
  <c r="J70" i="5" s="1"/>
  <c r="K70" i="5" s="1"/>
  <c r="L70" i="5" s="1"/>
  <c r="M70" i="5" s="1"/>
  <c r="N70" i="5" s="1"/>
  <c r="C71" i="5"/>
  <c r="D71" i="5" s="1"/>
  <c r="E71" i="5" s="1"/>
  <c r="F71" i="5" s="1"/>
  <c r="G71" i="5" s="1"/>
  <c r="H71" i="5" s="1"/>
  <c r="I71" i="5" s="1"/>
  <c r="J71" i="5" s="1"/>
  <c r="K71" i="5" s="1"/>
  <c r="L71" i="5" s="1"/>
  <c r="M71" i="5" s="1"/>
  <c r="N71" i="5" s="1"/>
  <c r="C30" i="5"/>
  <c r="D30" i="5" s="1"/>
  <c r="E30" i="5" s="1"/>
  <c r="F30" i="5" s="1"/>
  <c r="G30" i="5" s="1"/>
  <c r="H30" i="5" s="1"/>
  <c r="I30" i="5" s="1"/>
  <c r="J30" i="5" s="1"/>
  <c r="K30" i="5" s="1"/>
  <c r="L30" i="5" s="1"/>
  <c r="M30" i="5" s="1"/>
  <c r="N30" i="5" s="1"/>
  <c r="B3" i="7"/>
  <c r="B4" i="7" s="1"/>
  <c r="B9" i="2"/>
  <c r="B7" i="2"/>
  <c r="E86" i="9"/>
  <c r="I109" i="4"/>
  <c r="J109" i="4"/>
  <c r="K109" i="4"/>
  <c r="I110" i="4"/>
  <c r="J110" i="4"/>
  <c r="K110" i="4"/>
  <c r="I111" i="4"/>
  <c r="J111" i="4"/>
  <c r="K111" i="4"/>
  <c r="I112" i="4"/>
  <c r="J112" i="4"/>
  <c r="K112" i="4"/>
  <c r="I113" i="4"/>
  <c r="J113" i="4"/>
  <c r="K113" i="4"/>
  <c r="I114" i="4"/>
  <c r="J114" i="4"/>
  <c r="K114" i="4"/>
  <c r="I115" i="4"/>
  <c r="J115" i="4"/>
  <c r="K115" i="4"/>
  <c r="I116" i="4"/>
  <c r="J116" i="4"/>
  <c r="K116" i="4"/>
  <c r="I117" i="4"/>
  <c r="J117" i="4"/>
  <c r="K117" i="4"/>
  <c r="I118" i="4"/>
  <c r="J118" i="4"/>
  <c r="K118" i="4"/>
  <c r="I119" i="4"/>
  <c r="J119" i="4"/>
  <c r="K119" i="4"/>
  <c r="I120" i="4"/>
  <c r="J120" i="4"/>
  <c r="K120" i="4"/>
  <c r="I121" i="4"/>
  <c r="J121" i="4"/>
  <c r="K121" i="4"/>
  <c r="I122" i="4"/>
  <c r="J122" i="4"/>
  <c r="K122" i="4"/>
  <c r="I123" i="4"/>
  <c r="J123" i="4"/>
  <c r="K123" i="4"/>
  <c r="I124" i="4"/>
  <c r="J124" i="4"/>
  <c r="K124" i="4"/>
  <c r="I125" i="4"/>
  <c r="J125" i="4"/>
  <c r="K125" i="4"/>
  <c r="I126" i="4"/>
  <c r="J126" i="4"/>
  <c r="K126" i="4"/>
  <c r="I127" i="4"/>
  <c r="J127" i="4"/>
  <c r="K127" i="4"/>
  <c r="I128" i="4"/>
  <c r="J128" i="4"/>
  <c r="K128" i="4"/>
  <c r="I129" i="4"/>
  <c r="J129" i="4"/>
  <c r="K129" i="4"/>
  <c r="I130" i="4"/>
  <c r="J130" i="4"/>
  <c r="K130" i="4"/>
  <c r="I131" i="4"/>
  <c r="J131" i="4"/>
  <c r="K131" i="4"/>
  <c r="I132" i="4"/>
  <c r="J132" i="4"/>
  <c r="K132" i="4"/>
  <c r="I133" i="4"/>
  <c r="J133" i="4"/>
  <c r="K133" i="4"/>
  <c r="I134" i="4"/>
  <c r="J134" i="4"/>
  <c r="K134" i="4"/>
  <c r="I135" i="4"/>
  <c r="J135" i="4"/>
  <c r="K135" i="4"/>
  <c r="I136" i="4"/>
  <c r="J136" i="4"/>
  <c r="K136" i="4"/>
  <c r="I137" i="4"/>
  <c r="J137" i="4"/>
  <c r="K137" i="4"/>
  <c r="I138" i="4"/>
  <c r="J138" i="4"/>
  <c r="K138" i="4"/>
  <c r="I139" i="4"/>
  <c r="J139" i="4"/>
  <c r="K139" i="4"/>
  <c r="I140" i="4"/>
  <c r="J140" i="4"/>
  <c r="K140" i="4"/>
  <c r="I141" i="4"/>
  <c r="J141" i="4"/>
  <c r="K141" i="4"/>
  <c r="I142" i="4"/>
  <c r="J142" i="4"/>
  <c r="K142" i="4"/>
  <c r="I143" i="4"/>
  <c r="J143" i="4"/>
  <c r="K143" i="4"/>
  <c r="I144" i="4"/>
  <c r="J144" i="4"/>
  <c r="K144" i="4"/>
  <c r="I145" i="4"/>
  <c r="J145" i="4"/>
  <c r="K145" i="4"/>
  <c r="I146" i="4"/>
  <c r="J146" i="4"/>
  <c r="K146" i="4"/>
  <c r="I147" i="4"/>
  <c r="J147" i="4"/>
  <c r="K147" i="4"/>
  <c r="I148" i="4"/>
  <c r="J148" i="4"/>
  <c r="K148" i="4"/>
  <c r="I149" i="4"/>
  <c r="J149" i="4"/>
  <c r="K149" i="4"/>
  <c r="I150" i="4"/>
  <c r="J150" i="4"/>
  <c r="K150" i="4"/>
  <c r="I151" i="4"/>
  <c r="J151" i="4"/>
  <c r="K151" i="4"/>
  <c r="I152" i="4"/>
  <c r="J152" i="4"/>
  <c r="K152" i="4"/>
  <c r="I153" i="4"/>
  <c r="J153" i="4"/>
  <c r="K153" i="4"/>
  <c r="I154" i="4"/>
  <c r="J154" i="4"/>
  <c r="K154" i="4"/>
  <c r="I155" i="4"/>
  <c r="J155" i="4"/>
  <c r="K155" i="4"/>
  <c r="I156" i="4"/>
  <c r="J156" i="4"/>
  <c r="K156" i="4"/>
  <c r="I157" i="4"/>
  <c r="J157" i="4"/>
  <c r="K157" i="4"/>
  <c r="I158" i="4"/>
  <c r="J158" i="4"/>
  <c r="K158" i="4"/>
  <c r="I159" i="4"/>
  <c r="J159" i="4"/>
  <c r="K159" i="4"/>
  <c r="I160" i="4"/>
  <c r="J160" i="4"/>
  <c r="K160" i="4"/>
  <c r="I161" i="4"/>
  <c r="J161" i="4"/>
  <c r="K161" i="4"/>
  <c r="I162" i="4"/>
  <c r="J162" i="4"/>
  <c r="K162" i="4"/>
  <c r="I163" i="4"/>
  <c r="J163" i="4"/>
  <c r="K163" i="4"/>
  <c r="I164" i="4"/>
  <c r="J164" i="4"/>
  <c r="K164" i="4"/>
  <c r="I165" i="4"/>
  <c r="J165" i="4"/>
  <c r="K165" i="4"/>
  <c r="I166" i="4"/>
  <c r="J166" i="4"/>
  <c r="K166" i="4"/>
  <c r="I167" i="4"/>
  <c r="J167" i="4"/>
  <c r="K167" i="4"/>
  <c r="I168" i="4"/>
  <c r="J168" i="4"/>
  <c r="K168" i="4"/>
  <c r="I169" i="4"/>
  <c r="J169" i="4"/>
  <c r="K169" i="4"/>
  <c r="I170" i="4"/>
  <c r="J170" i="4"/>
  <c r="K170" i="4"/>
  <c r="I171" i="4"/>
  <c r="J171" i="4"/>
  <c r="K171" i="4"/>
  <c r="I172" i="4"/>
  <c r="J172" i="4"/>
  <c r="K172" i="4"/>
  <c r="I173" i="4"/>
  <c r="J173" i="4"/>
  <c r="K173" i="4"/>
  <c r="I174" i="4"/>
  <c r="J174" i="4"/>
  <c r="K174" i="4"/>
  <c r="I175" i="4"/>
  <c r="J175" i="4"/>
  <c r="K175" i="4"/>
  <c r="I176" i="4"/>
  <c r="J176" i="4"/>
  <c r="K176" i="4"/>
  <c r="I177" i="4"/>
  <c r="J177" i="4"/>
  <c r="K177" i="4"/>
  <c r="I178" i="4"/>
  <c r="J178" i="4"/>
  <c r="K178" i="4"/>
  <c r="I179" i="4"/>
  <c r="J179" i="4"/>
  <c r="K179" i="4"/>
  <c r="I180" i="4"/>
  <c r="J180" i="4"/>
  <c r="K180" i="4"/>
  <c r="I181" i="4"/>
  <c r="J181" i="4"/>
  <c r="K181" i="4"/>
  <c r="I182" i="4"/>
  <c r="J182" i="4"/>
  <c r="K182" i="4"/>
  <c r="I183" i="4"/>
  <c r="J183" i="4"/>
  <c r="K183" i="4"/>
  <c r="I184" i="4"/>
  <c r="J184" i="4"/>
  <c r="K184" i="4"/>
  <c r="I185" i="4"/>
  <c r="J185" i="4"/>
  <c r="K185" i="4"/>
  <c r="I186" i="4"/>
  <c r="J186" i="4"/>
  <c r="K186" i="4"/>
  <c r="I187" i="4"/>
  <c r="J187" i="4"/>
  <c r="K187" i="4"/>
  <c r="I188" i="4"/>
  <c r="J188" i="4"/>
  <c r="K188" i="4"/>
  <c r="I189" i="4"/>
  <c r="J189" i="4"/>
  <c r="K189" i="4"/>
  <c r="I190" i="4"/>
  <c r="J190" i="4"/>
  <c r="K190" i="4"/>
  <c r="I191" i="4"/>
  <c r="J191" i="4"/>
  <c r="K191" i="4"/>
  <c r="I192" i="4"/>
  <c r="J192" i="4"/>
  <c r="K192" i="4"/>
  <c r="I193" i="4"/>
  <c r="J193" i="4"/>
  <c r="K193" i="4"/>
  <c r="I194" i="4"/>
  <c r="J194" i="4"/>
  <c r="K194" i="4"/>
  <c r="I195" i="4"/>
  <c r="J195" i="4"/>
  <c r="K195" i="4"/>
  <c r="I196" i="4"/>
  <c r="J196" i="4"/>
  <c r="K196" i="4"/>
  <c r="I197" i="4"/>
  <c r="J197" i="4"/>
  <c r="K197" i="4"/>
  <c r="I198" i="4"/>
  <c r="J198" i="4"/>
  <c r="K198" i="4"/>
  <c r="I199" i="4"/>
  <c r="J199" i="4"/>
  <c r="K199" i="4"/>
  <c r="I200" i="4"/>
  <c r="J200" i="4"/>
  <c r="K200" i="4"/>
  <c r="I201" i="4"/>
  <c r="J201" i="4"/>
  <c r="K201" i="4"/>
  <c r="I202" i="4"/>
  <c r="J202" i="4"/>
  <c r="K202" i="4"/>
  <c r="I203" i="4"/>
  <c r="J203" i="4"/>
  <c r="K203" i="4"/>
  <c r="I204" i="4"/>
  <c r="J204" i="4"/>
  <c r="K204" i="4"/>
  <c r="I205" i="4"/>
  <c r="J205" i="4"/>
  <c r="K205" i="4"/>
  <c r="I206" i="4"/>
  <c r="J206" i="4"/>
  <c r="K206" i="4"/>
  <c r="I207" i="4"/>
  <c r="J207" i="4"/>
  <c r="K207" i="4"/>
  <c r="I208" i="4"/>
  <c r="J208" i="4"/>
  <c r="K208" i="4"/>
  <c r="I209" i="4"/>
  <c r="J209" i="4"/>
  <c r="K209" i="4"/>
  <c r="I210" i="4"/>
  <c r="J210" i="4"/>
  <c r="K210" i="4"/>
  <c r="I211" i="4"/>
  <c r="J211" i="4"/>
  <c r="K211" i="4"/>
  <c r="I212" i="4"/>
  <c r="J212" i="4"/>
  <c r="K212" i="4"/>
  <c r="I213" i="4"/>
  <c r="J213" i="4"/>
  <c r="K213" i="4"/>
  <c r="I214" i="4"/>
  <c r="J214" i="4"/>
  <c r="K214" i="4"/>
  <c r="I215" i="4"/>
  <c r="J215" i="4"/>
  <c r="K215" i="4"/>
  <c r="I216" i="4"/>
  <c r="J216" i="4"/>
  <c r="K216" i="4"/>
  <c r="I217" i="4"/>
  <c r="J217" i="4"/>
  <c r="K217" i="4"/>
  <c r="I218" i="4"/>
  <c r="J218" i="4"/>
  <c r="K218" i="4"/>
  <c r="I219" i="4"/>
  <c r="J219" i="4"/>
  <c r="K219" i="4"/>
  <c r="I220" i="4"/>
  <c r="J220" i="4"/>
  <c r="K220" i="4"/>
  <c r="I221" i="4"/>
  <c r="J221" i="4"/>
  <c r="K221" i="4"/>
  <c r="I222" i="4"/>
  <c r="J222" i="4"/>
  <c r="K222" i="4"/>
  <c r="I223" i="4"/>
  <c r="J223" i="4"/>
  <c r="K223" i="4"/>
  <c r="I224" i="4"/>
  <c r="J224" i="4"/>
  <c r="K224" i="4"/>
  <c r="I225" i="4"/>
  <c r="J225" i="4"/>
  <c r="K225" i="4"/>
  <c r="I226" i="4"/>
  <c r="J226" i="4"/>
  <c r="K226" i="4"/>
  <c r="I227" i="4"/>
  <c r="J227" i="4"/>
  <c r="K227" i="4"/>
  <c r="I228" i="4"/>
  <c r="J228" i="4"/>
  <c r="K228" i="4"/>
  <c r="I229" i="4"/>
  <c r="J229" i="4"/>
  <c r="K229" i="4"/>
  <c r="I230" i="4"/>
  <c r="J230" i="4"/>
  <c r="K230" i="4"/>
  <c r="I231" i="4"/>
  <c r="J231" i="4"/>
  <c r="K231" i="4"/>
  <c r="I232" i="4"/>
  <c r="J232" i="4"/>
  <c r="K232" i="4"/>
  <c r="I233" i="4"/>
  <c r="J233" i="4"/>
  <c r="K233" i="4"/>
  <c r="I234" i="4"/>
  <c r="J234" i="4"/>
  <c r="K234" i="4"/>
  <c r="I235" i="4"/>
  <c r="J235" i="4"/>
  <c r="K235" i="4"/>
  <c r="I236" i="4"/>
  <c r="J236" i="4"/>
  <c r="K236" i="4"/>
  <c r="I237" i="4"/>
  <c r="J237" i="4"/>
  <c r="K237" i="4"/>
  <c r="I238" i="4"/>
  <c r="J238" i="4"/>
  <c r="K238" i="4"/>
  <c r="I239" i="4"/>
  <c r="J239" i="4"/>
  <c r="K239" i="4"/>
  <c r="I240" i="4"/>
  <c r="J240" i="4"/>
  <c r="K240" i="4"/>
  <c r="I241" i="4"/>
  <c r="J241" i="4"/>
  <c r="K241" i="4"/>
  <c r="I242" i="4"/>
  <c r="J242" i="4"/>
  <c r="K242" i="4"/>
  <c r="I243" i="4"/>
  <c r="J243" i="4"/>
  <c r="K243" i="4"/>
  <c r="I244" i="4"/>
  <c r="J244" i="4"/>
  <c r="K244" i="4"/>
  <c r="I245" i="4"/>
  <c r="J245" i="4"/>
  <c r="K245" i="4"/>
  <c r="I246" i="4"/>
  <c r="J246" i="4"/>
  <c r="K246" i="4"/>
  <c r="I247" i="4"/>
  <c r="J247" i="4"/>
  <c r="K247" i="4"/>
  <c r="I248" i="4"/>
  <c r="J248" i="4"/>
  <c r="K248" i="4"/>
  <c r="I249" i="4"/>
  <c r="J249" i="4"/>
  <c r="K249" i="4"/>
  <c r="I250" i="4"/>
  <c r="J250" i="4"/>
  <c r="K250" i="4"/>
  <c r="I251" i="4"/>
  <c r="J251" i="4"/>
  <c r="K251" i="4"/>
  <c r="I252" i="4"/>
  <c r="J252" i="4"/>
  <c r="K252" i="4"/>
  <c r="I253" i="4"/>
  <c r="J253" i="4"/>
  <c r="K253" i="4"/>
  <c r="I254" i="4"/>
  <c r="J254" i="4"/>
  <c r="K254" i="4"/>
  <c r="I255" i="4"/>
  <c r="J255" i="4"/>
  <c r="K255" i="4"/>
  <c r="I256" i="4"/>
  <c r="J256" i="4"/>
  <c r="K256" i="4"/>
  <c r="I257" i="4"/>
  <c r="J257" i="4"/>
  <c r="K257" i="4"/>
  <c r="I258" i="4"/>
  <c r="J258" i="4"/>
  <c r="K258" i="4"/>
  <c r="I259" i="4"/>
  <c r="J259" i="4"/>
  <c r="K259" i="4"/>
  <c r="I260" i="4"/>
  <c r="J260" i="4"/>
  <c r="K260" i="4"/>
  <c r="I261" i="4"/>
  <c r="J261" i="4"/>
  <c r="K261" i="4"/>
  <c r="I262" i="4"/>
  <c r="J262" i="4"/>
  <c r="K262" i="4"/>
  <c r="I263" i="4"/>
  <c r="J263" i="4"/>
  <c r="K263" i="4"/>
  <c r="I264" i="4"/>
  <c r="J264" i="4"/>
  <c r="K264" i="4"/>
  <c r="I265" i="4"/>
  <c r="J265" i="4"/>
  <c r="K265" i="4"/>
  <c r="I266" i="4"/>
  <c r="J266" i="4"/>
  <c r="K266" i="4"/>
  <c r="I267" i="4"/>
  <c r="J267" i="4"/>
  <c r="K267" i="4"/>
  <c r="I268" i="4"/>
  <c r="J268" i="4"/>
  <c r="K268" i="4"/>
  <c r="I269" i="4"/>
  <c r="J269" i="4"/>
  <c r="K269" i="4"/>
  <c r="I270" i="4"/>
  <c r="J270" i="4"/>
  <c r="K270" i="4"/>
  <c r="I271" i="4"/>
  <c r="J271" i="4"/>
  <c r="K271" i="4"/>
  <c r="I272" i="4"/>
  <c r="J272" i="4"/>
  <c r="K272" i="4"/>
  <c r="I273" i="4"/>
  <c r="J273" i="4"/>
  <c r="K273" i="4"/>
  <c r="I274" i="4"/>
  <c r="J274" i="4"/>
  <c r="K274" i="4"/>
  <c r="I275" i="4"/>
  <c r="J275" i="4"/>
  <c r="K275" i="4"/>
  <c r="I276" i="4"/>
  <c r="J276" i="4"/>
  <c r="K276" i="4"/>
  <c r="I277" i="4"/>
  <c r="J277" i="4"/>
  <c r="K277" i="4"/>
  <c r="I278" i="4"/>
  <c r="J278" i="4"/>
  <c r="K278" i="4"/>
  <c r="I279" i="4"/>
  <c r="J279" i="4"/>
  <c r="K279" i="4"/>
  <c r="I280" i="4"/>
  <c r="J280" i="4"/>
  <c r="K280" i="4"/>
  <c r="B14" i="6" l="1"/>
  <c r="B13" i="6"/>
  <c r="G60" i="16"/>
  <c r="C33" i="2"/>
  <c r="A1" i="7"/>
  <c r="B69" i="6"/>
  <c r="D69" i="6"/>
  <c r="A1" i="5"/>
  <c r="A1" i="6"/>
  <c r="A1" i="4"/>
  <c r="A1" i="3"/>
  <c r="A1" i="2"/>
  <c r="C34" i="2"/>
  <c r="C35" i="2"/>
  <c r="H60" i="16" l="1"/>
  <c r="C38" i="2"/>
  <c r="I60" i="16" l="1"/>
  <c r="D26" i="6"/>
  <c r="D25" i="6" s="1"/>
  <c r="B22" i="6"/>
  <c r="B26" i="6"/>
  <c r="J60" i="16" l="1"/>
  <c r="B63" i="6"/>
  <c r="D67" i="6" s="1"/>
  <c r="E41" i="2"/>
  <c r="D70" i="6"/>
  <c r="D15" i="6" s="1"/>
  <c r="E45" i="2" s="1"/>
  <c r="D42" i="6"/>
  <c r="D41" i="6"/>
  <c r="D40" i="6"/>
  <c r="K60" i="16" l="1"/>
  <c r="B68" i="6"/>
  <c r="B67" i="6"/>
  <c r="D68" i="6"/>
  <c r="D71" i="6" s="1"/>
  <c r="L60" i="16" l="1"/>
  <c r="C13" i="6"/>
  <c r="D13" i="6"/>
  <c r="E43" i="2" s="1"/>
  <c r="D66" i="6"/>
  <c r="C55" i="4"/>
  <c r="C54" i="4"/>
  <c r="C53" i="4"/>
  <c r="C52" i="4"/>
  <c r="C51" i="4"/>
  <c r="C50" i="4"/>
  <c r="M60" i="16" l="1"/>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22" i="7"/>
  <c r="B72" i="11"/>
  <c r="B158" i="9" s="1"/>
  <c r="N60" i="16" l="1"/>
  <c r="B156" i="9"/>
  <c r="B157" i="9"/>
  <c r="B164" i="9"/>
  <c r="B160" i="9"/>
  <c r="B161" i="9"/>
  <c r="B163" i="9"/>
  <c r="B159" i="9"/>
  <c r="B162" i="9"/>
  <c r="B215" i="9"/>
  <c r="B214" i="9"/>
  <c r="P60" i="16" l="1"/>
  <c r="O60" i="16"/>
  <c r="E25" i="2"/>
  <c r="M16" i="3" l="1"/>
  <c r="M23" i="3" l="1"/>
  <c r="M26" i="3"/>
  <c r="M27" i="3"/>
  <c r="M28" i="3"/>
  <c r="M30" i="3"/>
  <c r="M29" i="3"/>
  <c r="M31" i="3"/>
  <c r="M18" i="3"/>
  <c r="M21" i="3"/>
  <c r="M24" i="3"/>
  <c r="M25" i="3"/>
  <c r="M17" i="3"/>
  <c r="M19" i="3"/>
  <c r="M20" i="3"/>
  <c r="M22" i="3"/>
  <c r="B25" i="2"/>
  <c r="A68" i="6"/>
  <c r="A67" i="6"/>
  <c r="B66" i="6"/>
  <c r="E20" i="3"/>
  <c r="E21" i="3"/>
  <c r="E22" i="3"/>
  <c r="E23" i="3"/>
  <c r="E24" i="3"/>
  <c r="E25" i="3"/>
  <c r="E26" i="3"/>
  <c r="E27" i="3"/>
  <c r="E28" i="3"/>
  <c r="E29" i="3"/>
  <c r="E30" i="3"/>
  <c r="E31" i="3"/>
  <c r="E169" i="7" l="1"/>
  <c r="E153" i="7"/>
  <c r="E161" i="7"/>
  <c r="E173" i="7"/>
  <c r="E157" i="7"/>
  <c r="E149" i="7"/>
  <c r="E165" i="7"/>
  <c r="E176" i="7"/>
  <c r="E172" i="7"/>
  <c r="E168" i="7"/>
  <c r="E164" i="7"/>
  <c r="E160" i="7"/>
  <c r="E156" i="7"/>
  <c r="E152" i="7"/>
  <c r="E148" i="7"/>
  <c r="E175" i="7"/>
  <c r="E174" i="7"/>
  <c r="E171" i="7"/>
  <c r="E170" i="7"/>
  <c r="E167" i="7"/>
  <c r="E166" i="7"/>
  <c r="E163" i="7"/>
  <c r="E162" i="7"/>
  <c r="E159" i="7"/>
  <c r="E158" i="7"/>
  <c r="E155" i="7"/>
  <c r="E154" i="7"/>
  <c r="E151" i="7"/>
  <c r="E150" i="7"/>
  <c r="E147" i="7"/>
  <c r="E146" i="7"/>
  <c r="C16" i="3"/>
  <c r="E16" i="3"/>
  <c r="C18" i="3" l="1"/>
  <c r="E18" i="3"/>
  <c r="C17" i="3"/>
  <c r="E17" i="3"/>
  <c r="C19" i="3"/>
  <c r="E19" i="3"/>
  <c r="C23" i="5"/>
  <c r="F23" i="5"/>
  <c r="C24" i="5"/>
  <c r="G24" i="5"/>
  <c r="K23" i="5"/>
  <c r="D23" i="5"/>
  <c r="L24" i="5"/>
  <c r="E24" i="5"/>
  <c r="H24" i="5"/>
  <c r="H23" i="5"/>
  <c r="G23" i="5"/>
  <c r="K24" i="5" l="1"/>
  <c r="I24" i="5"/>
  <c r="E23" i="5"/>
  <c r="M24" i="5"/>
  <c r="D24" i="5"/>
  <c r="M23" i="5"/>
  <c r="I23" i="5"/>
  <c r="N24" i="5"/>
  <c r="F24" i="5"/>
  <c r="L23" i="5"/>
  <c r="J24" i="5"/>
  <c r="N23" i="5"/>
  <c r="E137" i="7" l="1"/>
  <c r="E135" i="7" l="1"/>
  <c r="E142" i="7"/>
  <c r="E139" i="7"/>
  <c r="E140" i="7"/>
  <c r="E123" i="7"/>
  <c r="E131" i="7"/>
  <c r="E126" i="7"/>
  <c r="E122" i="7"/>
  <c r="E138" i="7"/>
  <c r="E141" i="7"/>
  <c r="E134" i="7"/>
  <c r="E133" i="7"/>
  <c r="E125" i="7"/>
  <c r="E136" i="7"/>
  <c r="E143" i="7"/>
  <c r="E128" i="7"/>
  <c r="E127" i="7"/>
  <c r="E144" i="7"/>
  <c r="E130" i="7"/>
  <c r="E129" i="7"/>
  <c r="E145" i="7"/>
  <c r="E132" i="7"/>
  <c r="E124" i="7"/>
  <c r="B25" i="5" l="1"/>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62" i="4"/>
  <c r="B46" i="6"/>
  <c r="B70" i="6"/>
  <c r="B42" i="6"/>
  <c r="B40" i="6"/>
  <c r="B25" i="6"/>
  <c r="C22" i="2"/>
  <c r="B12" i="3"/>
  <c r="B8" i="3" s="1"/>
  <c r="B9" i="3" s="1"/>
  <c r="D44" i="6" l="1"/>
  <c r="B15" i="6"/>
  <c r="C45" i="2" s="1"/>
  <c r="D46" i="6"/>
  <c r="B44" i="6"/>
  <c r="D22" i="2"/>
  <c r="H110" i="9"/>
  <c r="A219" i="9"/>
  <c r="B218" i="9"/>
  <c r="B217" i="9"/>
  <c r="H147" i="9"/>
  <c r="A216" i="9" s="1"/>
  <c r="B27" i="2"/>
  <c r="H109" i="9"/>
  <c r="A27" i="4"/>
  <c r="A34" i="4"/>
  <c r="H108" i="9"/>
  <c r="H106" i="9"/>
  <c r="B41" i="6"/>
  <c r="D45" i="6" s="1"/>
  <c r="D14" i="6" s="1"/>
  <c r="E44" i="2" s="1"/>
  <c r="E42" i="2" s="1"/>
  <c r="A213" i="9"/>
  <c r="B216" i="9"/>
  <c r="I147" i="9" s="1"/>
  <c r="G202" i="9"/>
  <c r="G203" i="9"/>
  <c r="G204" i="9"/>
  <c r="G205" i="9"/>
  <c r="G206" i="9"/>
  <c r="G207" i="9"/>
  <c r="G208" i="9"/>
  <c r="G201" i="9"/>
  <c r="G200" i="9"/>
  <c r="E182" i="9"/>
  <c r="E198" i="9" s="1"/>
  <c r="C168" i="9"/>
  <c r="D168" i="9"/>
  <c r="C167" i="9"/>
  <c r="C182" i="9" s="1"/>
  <c r="C198" i="9" s="1"/>
  <c r="D167" i="9"/>
  <c r="D182" i="9" s="1"/>
  <c r="D198" i="9" s="1"/>
  <c r="B167" i="9"/>
  <c r="B182" i="9" s="1"/>
  <c r="B198" i="9" s="1"/>
  <c r="B168" i="9"/>
  <c r="A170" i="9"/>
  <c r="A185" i="9" s="1"/>
  <c r="A201" i="9" s="1"/>
  <c r="A171" i="9"/>
  <c r="A186" i="9" s="1"/>
  <c r="A202" i="9" s="1"/>
  <c r="A172" i="9"/>
  <c r="A187" i="9" s="1"/>
  <c r="A203" i="9" s="1"/>
  <c r="A173" i="9"/>
  <c r="A188" i="9" s="1"/>
  <c r="A204" i="9" s="1"/>
  <c r="A174" i="9"/>
  <c r="A189" i="9" s="1"/>
  <c r="A205" i="9" s="1"/>
  <c r="A175" i="9"/>
  <c r="A190" i="9" s="1"/>
  <c r="A206" i="9" s="1"/>
  <c r="A176" i="9"/>
  <c r="A191" i="9" s="1"/>
  <c r="A207" i="9" s="1"/>
  <c r="A177" i="9"/>
  <c r="A192" i="9" s="1"/>
  <c r="A208" i="9" s="1"/>
  <c r="A169" i="9"/>
  <c r="A184" i="9" s="1"/>
  <c r="A200" i="9" s="1"/>
  <c r="A167" i="9"/>
  <c r="A182" i="9" s="1"/>
  <c r="A198" i="9" s="1"/>
  <c r="B219" i="9" l="1"/>
  <c r="I148" i="9" s="1"/>
  <c r="D43" i="6"/>
  <c r="D47" i="6"/>
  <c r="C44" i="2"/>
  <c r="B45" i="6"/>
  <c r="B43" i="6"/>
  <c r="C15" i="6"/>
  <c r="D45" i="2" s="1"/>
  <c r="B183" i="9"/>
  <c r="D183" i="9"/>
  <c r="C183" i="9"/>
  <c r="E168" i="9"/>
  <c r="D16" i="6" l="1"/>
  <c r="C14" i="6"/>
  <c r="B47" i="6"/>
  <c r="D199" i="9"/>
  <c r="E183" i="9"/>
  <c r="C199" i="9"/>
  <c r="B199" i="9"/>
  <c r="D44" i="2" l="1"/>
  <c r="C16" i="2" s="1"/>
  <c r="E199" i="9"/>
  <c r="C157" i="9"/>
  <c r="E157" i="9" s="1"/>
  <c r="C158" i="9"/>
  <c r="E158" i="9" s="1"/>
  <c r="C160" i="9"/>
  <c r="E160" i="9" s="1"/>
  <c r="C161" i="9"/>
  <c r="E161" i="9" s="1"/>
  <c r="C164" i="9"/>
  <c r="E164" i="9" s="1"/>
  <c r="C156" i="9"/>
  <c r="E156" i="9" s="1"/>
  <c r="A130" i="9"/>
  <c r="A131" i="9"/>
  <c r="A132" i="9"/>
  <c r="A133" i="9"/>
  <c r="A134" i="9"/>
  <c r="A135" i="9"/>
  <c r="A136" i="9"/>
  <c r="A137" i="9"/>
  <c r="A138" i="9"/>
  <c r="A139" i="9"/>
  <c r="A140" i="9"/>
  <c r="A141" i="9"/>
  <c r="A129" i="9"/>
  <c r="C188" i="9" l="1"/>
  <c r="B188" i="9"/>
  <c r="D188" i="9"/>
  <c r="D204" i="9"/>
  <c r="D173" i="9"/>
  <c r="C204" i="9"/>
  <c r="C173" i="9"/>
  <c r="C171" i="9"/>
  <c r="D202" i="9"/>
  <c r="B186" i="9"/>
  <c r="D171" i="9"/>
  <c r="C202" i="9"/>
  <c r="C186" i="9"/>
  <c r="D186" i="9"/>
  <c r="C192" i="9"/>
  <c r="D177" i="9"/>
  <c r="D192" i="9"/>
  <c r="B192" i="9"/>
  <c r="C208" i="9"/>
  <c r="C177" i="9"/>
  <c r="D208" i="9"/>
  <c r="D200" i="9"/>
  <c r="D169" i="9"/>
  <c r="C200" i="9"/>
  <c r="D184" i="9"/>
  <c r="C184" i="9"/>
  <c r="C169" i="9"/>
  <c r="C205" i="9"/>
  <c r="D189" i="9"/>
  <c r="D174" i="9"/>
  <c r="C174" i="9"/>
  <c r="D205" i="9"/>
  <c r="B189" i="9"/>
  <c r="C189" i="9"/>
  <c r="C201" i="9"/>
  <c r="D185" i="9"/>
  <c r="D170" i="9"/>
  <c r="C185" i="9"/>
  <c r="C170" i="9"/>
  <c r="D201" i="9"/>
  <c r="B185" i="9"/>
  <c r="B202" i="9"/>
  <c r="B205" i="9"/>
  <c r="B208" i="9"/>
  <c r="B204" i="9"/>
  <c r="B200" i="9"/>
  <c r="B201" i="9"/>
  <c r="B184" i="9"/>
  <c r="B174" i="9"/>
  <c r="B177" i="9"/>
  <c r="B173" i="9"/>
  <c r="B171" i="9"/>
  <c r="D156" i="9"/>
  <c r="B169" i="9"/>
  <c r="B170" i="9"/>
  <c r="C162" i="9"/>
  <c r="E162" i="9" s="1"/>
  <c r="C159" i="9"/>
  <c r="E159" i="9" s="1"/>
  <c r="D158" i="9"/>
  <c r="C163" i="9"/>
  <c r="E163" i="9" s="1"/>
  <c r="D160" i="9"/>
  <c r="D164" i="9"/>
  <c r="D157" i="9"/>
  <c r="D161" i="9"/>
  <c r="C203" i="9" l="1"/>
  <c r="B187" i="9"/>
  <c r="D203" i="9"/>
  <c r="C187" i="9"/>
  <c r="C172" i="9"/>
  <c r="D187" i="9"/>
  <c r="D172" i="9"/>
  <c r="C207" i="9"/>
  <c r="B191" i="9"/>
  <c r="D207" i="9"/>
  <c r="C191" i="9"/>
  <c r="C176" i="9"/>
  <c r="D191" i="9"/>
  <c r="D176" i="9"/>
  <c r="C175" i="9"/>
  <c r="D206" i="9"/>
  <c r="D190" i="9"/>
  <c r="B190" i="9"/>
  <c r="D175" i="9"/>
  <c r="C206" i="9"/>
  <c r="C190" i="9"/>
  <c r="E208" i="9"/>
  <c r="B203" i="9"/>
  <c r="B207" i="9"/>
  <c r="B206" i="9"/>
  <c r="E204" i="9"/>
  <c r="E192" i="9"/>
  <c r="E184" i="9"/>
  <c r="D163" i="9"/>
  <c r="B176" i="9"/>
  <c r="B175" i="9"/>
  <c r="E170" i="9"/>
  <c r="E169" i="9"/>
  <c r="E171" i="9"/>
  <c r="E177" i="9"/>
  <c r="E174" i="9"/>
  <c r="D159" i="9"/>
  <c r="B172" i="9"/>
  <c r="E173" i="9"/>
  <c r="D162" i="9"/>
  <c r="B209" i="9" l="1"/>
  <c r="D193" i="9"/>
  <c r="C193" i="9"/>
  <c r="D178" i="9"/>
  <c r="D209" i="9"/>
  <c r="B178" i="9"/>
  <c r="E207" i="9"/>
  <c r="B193" i="9"/>
  <c r="C178" i="9"/>
  <c r="C209" i="9"/>
  <c r="E203" i="9"/>
  <c r="E176" i="9"/>
  <c r="E201" i="9"/>
  <c r="E200" i="9"/>
  <c r="E188" i="9"/>
  <c r="E191" i="9"/>
  <c r="E190" i="9"/>
  <c r="E185" i="9"/>
  <c r="E187" i="9"/>
  <c r="E175" i="9"/>
  <c r="E172" i="9"/>
  <c r="A87" i="9"/>
  <c r="B87" i="9"/>
  <c r="C87" i="9"/>
  <c r="D87" i="9"/>
  <c r="E87" i="9"/>
  <c r="F87" i="9"/>
  <c r="A88" i="9"/>
  <c r="B88" i="9"/>
  <c r="B115" i="9" s="1"/>
  <c r="C88" i="9"/>
  <c r="D88" i="9"/>
  <c r="E88" i="9"/>
  <c r="F88" i="9"/>
  <c r="A89" i="9"/>
  <c r="B89" i="9"/>
  <c r="C89" i="9"/>
  <c r="D89" i="9"/>
  <c r="E89" i="9"/>
  <c r="F89" i="9"/>
  <c r="A90" i="9"/>
  <c r="B90" i="9"/>
  <c r="C90" i="9"/>
  <c r="D90" i="9"/>
  <c r="E90" i="9"/>
  <c r="F90" i="9"/>
  <c r="A91" i="9"/>
  <c r="B91" i="9"/>
  <c r="C91" i="9"/>
  <c r="D91" i="9"/>
  <c r="E91" i="9"/>
  <c r="F91" i="9"/>
  <c r="A92" i="9"/>
  <c r="B92" i="9"/>
  <c r="C92" i="9"/>
  <c r="D92" i="9"/>
  <c r="E92" i="9"/>
  <c r="F92" i="9"/>
  <c r="A93" i="9"/>
  <c r="B93" i="9"/>
  <c r="C93" i="9"/>
  <c r="D93" i="9"/>
  <c r="E93" i="9"/>
  <c r="F93" i="9"/>
  <c r="A94" i="9"/>
  <c r="A95" i="9"/>
  <c r="B95" i="9"/>
  <c r="C95" i="9"/>
  <c r="D95" i="9"/>
  <c r="E95" i="9"/>
  <c r="F95" i="9"/>
  <c r="A96" i="9"/>
  <c r="B96" i="9"/>
  <c r="B123" i="9" s="1"/>
  <c r="C96" i="9"/>
  <c r="D96" i="9"/>
  <c r="E96" i="9"/>
  <c r="F96" i="9"/>
  <c r="A97" i="9"/>
  <c r="B97" i="9"/>
  <c r="B124" i="9" s="1"/>
  <c r="C97" i="9"/>
  <c r="D97" i="9"/>
  <c r="E97" i="9"/>
  <c r="F97" i="9"/>
  <c r="A98" i="9"/>
  <c r="B98" i="9"/>
  <c r="C98" i="9"/>
  <c r="D98" i="9"/>
  <c r="E98" i="9"/>
  <c r="F98" i="9"/>
  <c r="A99" i="9"/>
  <c r="B99" i="9"/>
  <c r="C99" i="9"/>
  <c r="D99" i="9"/>
  <c r="E99" i="9"/>
  <c r="F99" i="9"/>
  <c r="A100" i="9"/>
  <c r="B100" i="9"/>
  <c r="C100" i="9"/>
  <c r="D100" i="9"/>
  <c r="E100" i="9"/>
  <c r="F100" i="9"/>
  <c r="A101" i="9"/>
  <c r="B101" i="9"/>
  <c r="C101" i="9"/>
  <c r="D101" i="9"/>
  <c r="E101" i="9"/>
  <c r="F101" i="9"/>
  <c r="A102" i="9"/>
  <c r="B102" i="9"/>
  <c r="C102" i="9"/>
  <c r="D102" i="9"/>
  <c r="E102" i="9"/>
  <c r="F102" i="9"/>
  <c r="A103" i="9"/>
  <c r="B103" i="9"/>
  <c r="C103" i="9"/>
  <c r="D103" i="9"/>
  <c r="E103" i="9"/>
  <c r="F103" i="9"/>
  <c r="A104" i="9"/>
  <c r="B104" i="9"/>
  <c r="C104" i="9"/>
  <c r="D104" i="9"/>
  <c r="E104" i="9"/>
  <c r="F104" i="9"/>
  <c r="A105" i="9"/>
  <c r="B105" i="9"/>
  <c r="C105" i="9"/>
  <c r="D105" i="9"/>
  <c r="E105" i="9"/>
  <c r="F105" i="9"/>
  <c r="A106" i="9"/>
  <c r="B106" i="9"/>
  <c r="B125" i="9" s="1"/>
  <c r="C106" i="9"/>
  <c r="D106" i="9"/>
  <c r="E106" i="9"/>
  <c r="F106" i="9"/>
  <c r="A107" i="9"/>
  <c r="B107" i="9"/>
  <c r="C107" i="9"/>
  <c r="D107" i="9"/>
  <c r="E107" i="9"/>
  <c r="F107" i="9"/>
  <c r="A108" i="9"/>
  <c r="B108" i="9"/>
  <c r="C108" i="9"/>
  <c r="D108" i="9"/>
  <c r="E108" i="9"/>
  <c r="F108" i="9"/>
  <c r="A109" i="9"/>
  <c r="B109" i="9"/>
  <c r="C109" i="9"/>
  <c r="D109" i="9"/>
  <c r="E109" i="9"/>
  <c r="F109" i="9"/>
  <c r="B85" i="9"/>
  <c r="B113" i="9" s="1"/>
  <c r="C85" i="9"/>
  <c r="D85" i="9"/>
  <c r="E85" i="9"/>
  <c r="F85" i="9"/>
  <c r="A85" i="9"/>
  <c r="B11" i="9"/>
  <c r="C11" i="9"/>
  <c r="D11" i="9"/>
  <c r="E11" i="9"/>
  <c r="F11" i="9"/>
  <c r="G11" i="9"/>
  <c r="H11" i="9"/>
  <c r="I11" i="9"/>
  <c r="J11" i="9"/>
  <c r="K11" i="9"/>
  <c r="L11" i="9"/>
  <c r="M11" i="9"/>
  <c r="N11" i="9"/>
  <c r="O11" i="9"/>
  <c r="P11" i="9"/>
  <c r="Q11" i="9"/>
  <c r="R11" i="9"/>
  <c r="C10" i="9"/>
  <c r="D10" i="9"/>
  <c r="E10" i="9"/>
  <c r="F10" i="9"/>
  <c r="G10" i="9"/>
  <c r="H10" i="9"/>
  <c r="I10" i="9"/>
  <c r="J10" i="9"/>
  <c r="K10" i="9"/>
  <c r="L10" i="9"/>
  <c r="M10" i="9"/>
  <c r="N10" i="9"/>
  <c r="O10" i="9"/>
  <c r="P10" i="9"/>
  <c r="Q10" i="9"/>
  <c r="R10" i="9"/>
  <c r="B10" i="9"/>
  <c r="C6" i="9"/>
  <c r="D6" i="9"/>
  <c r="E6" i="9"/>
  <c r="F6" i="9"/>
  <c r="G6" i="9"/>
  <c r="H6" i="9"/>
  <c r="I6" i="9"/>
  <c r="J6" i="9"/>
  <c r="K6" i="9"/>
  <c r="L6" i="9"/>
  <c r="M6" i="9"/>
  <c r="N6" i="9"/>
  <c r="O6" i="9"/>
  <c r="P6" i="9"/>
  <c r="Q6" i="9"/>
  <c r="R6" i="9"/>
  <c r="C7" i="9"/>
  <c r="D7" i="9"/>
  <c r="E7" i="9"/>
  <c r="F7" i="9"/>
  <c r="G7" i="9"/>
  <c r="H7" i="9"/>
  <c r="I7" i="9"/>
  <c r="J7" i="9"/>
  <c r="K7" i="9"/>
  <c r="L7" i="9"/>
  <c r="M7" i="9"/>
  <c r="N7" i="9"/>
  <c r="O7" i="9"/>
  <c r="P7" i="9"/>
  <c r="Q7" i="9"/>
  <c r="R7" i="9"/>
  <c r="C8" i="9"/>
  <c r="D8" i="9"/>
  <c r="E8" i="9"/>
  <c r="F8" i="9"/>
  <c r="G8" i="9"/>
  <c r="H8" i="9"/>
  <c r="I8" i="9"/>
  <c r="J8" i="9"/>
  <c r="K8" i="9"/>
  <c r="L8" i="9"/>
  <c r="M8" i="9"/>
  <c r="N8" i="9"/>
  <c r="O8" i="9"/>
  <c r="P8" i="9"/>
  <c r="Q8" i="9"/>
  <c r="R8" i="9"/>
  <c r="B7" i="9"/>
  <c r="B8" i="9"/>
  <c r="B6" i="9"/>
  <c r="A25" i="4"/>
  <c r="A26" i="4"/>
  <c r="A28" i="4"/>
  <c r="A29" i="4"/>
  <c r="A30" i="4"/>
  <c r="A31" i="4"/>
  <c r="A32" i="4"/>
  <c r="A33" i="4"/>
  <c r="A24" i="4"/>
  <c r="C21" i="3"/>
  <c r="C22" i="3"/>
  <c r="C23" i="3"/>
  <c r="C24" i="3"/>
  <c r="C25" i="3"/>
  <c r="C26" i="3"/>
  <c r="C27" i="3"/>
  <c r="C28" i="3"/>
  <c r="C29" i="3"/>
  <c r="C30" i="3"/>
  <c r="C31" i="3"/>
  <c r="C20" i="3"/>
  <c r="H18" i="3"/>
  <c r="G18" i="3" s="1"/>
  <c r="H17" i="3"/>
  <c r="G17" i="3" s="1"/>
  <c r="H19" i="3"/>
  <c r="G19" i="3" s="1"/>
  <c r="H20" i="3"/>
  <c r="G20" i="3" s="1"/>
  <c r="H21" i="3"/>
  <c r="G21" i="3" s="1"/>
  <c r="H22" i="3"/>
  <c r="G22" i="3" s="1"/>
  <c r="H23" i="3"/>
  <c r="G23" i="3" s="1"/>
  <c r="H24" i="3"/>
  <c r="G24" i="3" s="1"/>
  <c r="H25" i="3"/>
  <c r="G25" i="3" s="1"/>
  <c r="H26" i="3"/>
  <c r="G26" i="3" s="1"/>
  <c r="H27" i="3"/>
  <c r="G27" i="3" s="1"/>
  <c r="H28" i="3"/>
  <c r="G28" i="3" s="1"/>
  <c r="H29" i="3"/>
  <c r="G29" i="3" s="1"/>
  <c r="H30" i="3"/>
  <c r="G30" i="3" s="1"/>
  <c r="H31" i="3"/>
  <c r="G31" i="3" s="1"/>
  <c r="B201" i="7"/>
  <c r="B202" i="7"/>
  <c r="C202" i="7"/>
  <c r="B203" i="7"/>
  <c r="C203" i="7"/>
  <c r="B204" i="7"/>
  <c r="C204" i="7"/>
  <c r="B205" i="7"/>
  <c r="C205" i="7"/>
  <c r="B206" i="7"/>
  <c r="C206" i="7"/>
  <c r="B207" i="7"/>
  <c r="C207" i="7"/>
  <c r="B208" i="7"/>
  <c r="C208" i="7"/>
  <c r="B209" i="7"/>
  <c r="C209" i="7"/>
  <c r="B210" i="7"/>
  <c r="C210" i="7"/>
  <c r="B211" i="7"/>
  <c r="C211" i="7"/>
  <c r="B212" i="7"/>
  <c r="C212" i="7"/>
  <c r="B213" i="7"/>
  <c r="C213" i="7"/>
  <c r="B214" i="7"/>
  <c r="C214" i="7"/>
  <c r="B215" i="7"/>
  <c r="C215" i="7"/>
  <c r="B216" i="7"/>
  <c r="C216" i="7"/>
  <c r="B217" i="7"/>
  <c r="C217" i="7"/>
  <c r="B218" i="7"/>
  <c r="C218" i="7"/>
  <c r="B219" i="7"/>
  <c r="C219" i="7"/>
  <c r="B220" i="7"/>
  <c r="C220" i="7"/>
  <c r="B221" i="7"/>
  <c r="C221" i="7"/>
  <c r="B222" i="7"/>
  <c r="C222" i="7"/>
  <c r="B223" i="7"/>
  <c r="C223" i="7"/>
  <c r="B224" i="7"/>
  <c r="C224" i="7"/>
  <c r="B225" i="7"/>
  <c r="C225" i="7"/>
  <c r="B226" i="7"/>
  <c r="C226" i="7"/>
  <c r="B227" i="7"/>
  <c r="C227" i="7"/>
  <c r="B228" i="7"/>
  <c r="C228" i="7"/>
  <c r="B229" i="7"/>
  <c r="C229" i="7"/>
  <c r="B230" i="7"/>
  <c r="C230" i="7"/>
  <c r="B231" i="7"/>
  <c r="C231" i="7"/>
  <c r="B232" i="7"/>
  <c r="C232" i="7"/>
  <c r="C201" i="7"/>
  <c r="A118" i="9"/>
  <c r="B122" i="9"/>
  <c r="B117" i="9"/>
  <c r="B116" i="9"/>
  <c r="C120" i="9"/>
  <c r="B120" i="9"/>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22" i="7"/>
  <c r="D53" i="4"/>
  <c r="D17" i="4"/>
  <c r="E17" i="4" s="1"/>
  <c r="F15" i="4"/>
  <c r="E15" i="4"/>
  <c r="D10" i="3" l="1"/>
  <c r="B5" i="7"/>
  <c r="E22" i="2" s="1"/>
  <c r="I32" i="9"/>
  <c r="J23" i="5" s="1"/>
  <c r="B3" i="5" s="1"/>
  <c r="J28" i="5"/>
  <c r="C37" i="2"/>
  <c r="E179" i="9"/>
  <c r="E202" i="9"/>
  <c r="E206" i="9"/>
  <c r="E205" i="9"/>
  <c r="E186" i="9"/>
  <c r="E189" i="9"/>
  <c r="B112" i="9"/>
  <c r="F156" i="9"/>
  <c r="F159" i="9"/>
  <c r="G163" i="9"/>
  <c r="G156" i="9"/>
  <c r="G162" i="9"/>
  <c r="F158" i="9"/>
  <c r="G164" i="9"/>
  <c r="F160" i="9"/>
  <c r="F157" i="9"/>
  <c r="G161" i="9"/>
  <c r="F161" i="9"/>
  <c r="G158" i="9"/>
  <c r="G160" i="9"/>
  <c r="F164" i="9"/>
  <c r="F163" i="9"/>
  <c r="G157" i="9"/>
  <c r="F162" i="9"/>
  <c r="G159" i="9"/>
  <c r="B114" i="9"/>
  <c r="C122" i="9"/>
  <c r="F17" i="4" s="1"/>
  <c r="E37" i="2" s="1"/>
  <c r="C125" i="9"/>
  <c r="C121" i="9"/>
  <c r="C116" i="9"/>
  <c r="C112" i="9"/>
  <c r="G34" i="4"/>
  <c r="G32" i="4"/>
  <c r="G31" i="4"/>
  <c r="C123" i="9"/>
  <c r="C124" i="9"/>
  <c r="C113" i="9"/>
  <c r="C115" i="9"/>
  <c r="E53" i="4" s="1"/>
  <c r="B121" i="9"/>
  <c r="G33" i="4"/>
  <c r="C117" i="9"/>
  <c r="D37" i="2"/>
  <c r="B5" i="5" l="1"/>
  <c r="E23" i="2" s="1"/>
  <c r="B4" i="5"/>
  <c r="D23" i="2" s="1"/>
  <c r="C23" i="2"/>
  <c r="C147" i="9"/>
  <c r="C152" i="9"/>
  <c r="H25" i="4"/>
  <c r="H29" i="4"/>
  <c r="H33" i="4"/>
  <c r="H31" i="4"/>
  <c r="H26" i="4"/>
  <c r="H30" i="4"/>
  <c r="H34" i="4"/>
  <c r="H27" i="4"/>
  <c r="H24" i="4"/>
  <c r="H32" i="4"/>
  <c r="H28" i="4"/>
  <c r="C151" i="9"/>
  <c r="C148" i="9"/>
  <c r="C149" i="9"/>
  <c r="E210" i="9"/>
  <c r="E152" i="9" s="1"/>
  <c r="C150" i="9"/>
  <c r="E194" i="9"/>
  <c r="D152" i="9" s="1"/>
  <c r="C114" i="9"/>
  <c r="D22" i="5"/>
  <c r="E22" i="5"/>
  <c r="F22" i="5"/>
  <c r="G22" i="5"/>
  <c r="H22" i="5"/>
  <c r="I22" i="5"/>
  <c r="J22" i="5"/>
  <c r="K22" i="5"/>
  <c r="L22" i="5"/>
  <c r="M22" i="5"/>
  <c r="N22" i="5"/>
  <c r="C22" i="5"/>
  <c r="C27" i="5" s="1"/>
  <c r="F18" i="7"/>
  <c r="G18" i="7"/>
  <c r="H18" i="7"/>
  <c r="E18" i="7"/>
  <c r="D19" i="7"/>
  <c r="D20" i="4"/>
  <c r="D19" i="4"/>
  <c r="E19" i="4" s="1"/>
  <c r="D18" i="4"/>
  <c r="E18" i="4" s="1"/>
  <c r="F18" i="4" s="1"/>
  <c r="D16" i="4"/>
  <c r="E16" i="4" s="1"/>
  <c r="G25" i="4"/>
  <c r="G26" i="4"/>
  <c r="G28" i="4"/>
  <c r="G29" i="4"/>
  <c r="G30" i="4"/>
  <c r="G24" i="4"/>
  <c r="H23" i="4"/>
  <c r="E32" i="2"/>
  <c r="D41" i="2" s="1"/>
  <c r="B26" i="2"/>
  <c r="B24" i="2"/>
  <c r="B23" i="2"/>
  <c r="D54" i="4"/>
  <c r="E54" i="4" s="1"/>
  <c r="D52" i="4"/>
  <c r="D51" i="4"/>
  <c r="D50"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63" i="4"/>
  <c r="I62" i="4"/>
  <c r="I14" i="4"/>
  <c r="I15" i="4"/>
  <c r="I16" i="4"/>
  <c r="I17" i="4"/>
  <c r="E52" i="4" l="1"/>
  <c r="D55" i="4"/>
  <c r="F16" i="4"/>
  <c r="E35" i="2" s="1"/>
  <c r="D35" i="2"/>
  <c r="E50" i="4"/>
  <c r="E51" i="4"/>
  <c r="D34" i="2"/>
  <c r="F19" i="4"/>
  <c r="D33" i="2"/>
  <c r="C27" i="2"/>
  <c r="E38" i="2"/>
  <c r="D38" i="2"/>
  <c r="E20" i="4"/>
  <c r="C39" i="2"/>
  <c r="E148" i="9"/>
  <c r="E147" i="9"/>
  <c r="E151" i="9"/>
  <c r="E149" i="9"/>
  <c r="E150" i="9"/>
  <c r="D148" i="9"/>
  <c r="D147" i="9"/>
  <c r="D149" i="9"/>
  <c r="D150" i="9"/>
  <c r="D151" i="9"/>
  <c r="D36" i="2"/>
  <c r="C36" i="2"/>
  <c r="E55" i="4" l="1"/>
  <c r="E27" i="2" s="1"/>
  <c r="D27" i="2"/>
  <c r="D39" i="2"/>
  <c r="F20" i="4"/>
  <c r="E39" i="2" s="1"/>
  <c r="E21" i="4"/>
  <c r="F17" i="2" s="1"/>
  <c r="E33" i="2"/>
  <c r="D56" i="4"/>
  <c r="D13" i="4"/>
  <c r="D31" i="2" s="1"/>
  <c r="B71" i="6"/>
  <c r="E36" i="2"/>
  <c r="E34" i="2"/>
  <c r="D30" i="2" l="1"/>
  <c r="D17" i="2"/>
  <c r="E13" i="4"/>
  <c r="E31" i="2" s="1"/>
  <c r="C16" i="6"/>
  <c r="D43" i="2"/>
  <c r="F21" i="4"/>
  <c r="F16" i="2" s="1"/>
  <c r="E56" i="4"/>
  <c r="D27" i="5"/>
  <c r="D16" i="2" l="1"/>
  <c r="E30" i="2"/>
  <c r="D42" i="2"/>
  <c r="B16" i="2"/>
  <c r="E27" i="5"/>
  <c r="H16" i="3"/>
  <c r="G16" i="3" s="1"/>
  <c r="C43" i="2" l="1"/>
  <c r="C42" i="2" s="1"/>
  <c r="B16" i="6"/>
  <c r="F27" i="5"/>
  <c r="C26" i="2" l="1"/>
  <c r="C10" i="3"/>
  <c r="C9" i="3"/>
  <c r="C24" i="2"/>
  <c r="C8" i="3"/>
  <c r="G27" i="5"/>
  <c r="C25" i="2" l="1"/>
  <c r="C21" i="2" s="1"/>
  <c r="D26" i="2"/>
  <c r="D20" i="2" s="1"/>
  <c r="C20" i="2"/>
  <c r="D8" i="3"/>
  <c r="E24" i="2" s="1"/>
  <c r="E26" i="2"/>
  <c r="D24" i="2"/>
  <c r="H27" i="5"/>
  <c r="D25" i="2" l="1"/>
  <c r="D21" i="2" s="1"/>
  <c r="C13" i="2" s="1"/>
  <c r="E20" i="2"/>
  <c r="B12" i="2" s="1"/>
  <c r="E21" i="2"/>
  <c r="C12" i="2" s="1"/>
  <c r="I27" i="5"/>
  <c r="E16" i="2" l="1"/>
  <c r="B13" i="2"/>
  <c r="G17" i="2" s="1"/>
  <c r="E17" i="2"/>
  <c r="G16" i="2"/>
  <c r="J27" i="5"/>
  <c r="K27" i="5" l="1"/>
  <c r="L27" i="5" l="1"/>
  <c r="M27" i="5" l="1"/>
  <c r="N27"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tc={C9394CAF-BC5A-4537-9D92-1CD7AF3E4A21}</author>
  </authors>
  <commentList>
    <comment ref="B60" authorId="0" shapeId="0" xr:uid="{C9394CAF-BC5A-4537-9D92-1CD7AF3E4A21}">
      <text>
        <t>[Threaded comment]
Your version of Excel allows you to read this threaded comment; however, any edits to it will get removed if the file is opened in a newer version of Excel. Learn more: https://go.microsoft.com/fwlink/?linkid=870924
Comment:
    If not known leave blank, amount will be calculated from Total capacity of systems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tc={76F51BBE-CD78-4209-8EA6-9697718828D0}</author>
  </authors>
  <commentList>
    <comment ref="B27" authorId="0" shapeId="0" xr:uid="{76F51BBE-CD78-4209-8EA6-9697718828D0}">
      <text>
        <t>[Threaded comment]
Your version of Excel allows you to read this threaded comment; however, any edits to it will get removed if the file is opened in a newer version of Excel. Learn more: https://go.microsoft.com/fwlink/?linkid=870924
Comment:
    This is for council fleet vehicles charging at non-council charging stations ie not behind a council meter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tc={A43B4B2A-CE36-4233-A133-77AD5CA3DBB2}</author>
    <author>tc={8977410A-E27E-4358-88AC-3CDFD5BAB193}</author>
    <author>Owner</author>
  </authors>
  <commentList>
    <comment ref="A34" authorId="0" shapeId="0" xr:uid="{A43B4B2A-CE36-4233-A133-77AD5CA3DBB2}">
      <text>
        <t>[Threaded comment]
Your version of Excel allows you to read this threaded comment; however, any edits to it will get removed if the file is opened in a newer version of Excel. Learn more: https://go.microsoft.com/fwlink/?linkid=870924
Comment:
    Based on average across 13 systems at City of Hobart over three years</t>
      </text>
    </comment>
    <comment ref="A86" authorId="1" shapeId="0" xr:uid="{8977410A-E27E-4358-88AC-3CDFD5BAB193}">
      <text>
        <t xml:space="preserve">[Threaded comment]
Your version of Excel allows you to read this threaded comment; however, any edits to it will get removed if the file is opened in a newer version of Excel. Learn more: https://go.microsoft.com/fwlink/?linkid=870924
Comment:
    Combination of post-2004 vehicles and Euro iv trucks values
</t>
      </text>
    </comment>
    <comment ref="B150" authorId="2" shapeId="0" xr:uid="{BE2AC8DB-E182-4CD5-8478-1A8CD9FBFDE6}">
      <text>
        <r>
          <rPr>
            <b/>
            <sz val="9"/>
            <color indexed="81"/>
            <rFont val="Tahoma"/>
            <family val="2"/>
          </rPr>
          <t>Owner:</t>
        </r>
        <r>
          <rPr>
            <sz val="9"/>
            <color indexed="81"/>
            <rFont val="Tahoma"/>
            <family val="2"/>
          </rPr>
          <t xml:space="preserve">
Based on average collection efficiency rate for period 2009/10 to 2021/22</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8BF4CCD-B25A-4B64-93A1-917F9FAE522A}" keepAlive="1" name="Query - Table1" description="Connection to the 'Table1' query in the workbook." type="5" refreshedVersion="8" background="1" saveData="1">
    <dbPr connection="Provider=Microsoft.Mashup.OleDb.1;Data Source=$Workbook$;Location=Table1;Extended Properties=&quot;&quot;" command="SELECT * FROM [Table1]"/>
  </connection>
  <connection id="2" xr16:uid="{F14EC0B1-4D91-44B0-B807-B79AE2EE54BB}" keepAlive="1" name="Query - Table1 (2)" description="Connection to the 'Table1 (2)' query in the workbook." type="5" refreshedVersion="8" background="1" saveData="1">
    <dbPr connection="Provider=Microsoft.Mashup.OleDb.1;Data Source=$Workbook$;Location=&quot;Table1 (2)&quot;;Extended Properties=&quot;&quot;" command="SELECT * FROM [Table1 (2)]"/>
  </connection>
</connections>
</file>

<file path=xl/sharedStrings.xml><?xml version="1.0" encoding="utf-8"?>
<sst xmlns="http://schemas.openxmlformats.org/spreadsheetml/2006/main" count="1150" uniqueCount="662">
  <si>
    <t>This calculator has been developed for use by Southern Tasmanian Councils for corporate greenhouse gas emissions inventories and energy summaries</t>
  </si>
  <si>
    <t>The following are the titles of the individual worksheets:</t>
  </si>
  <si>
    <t>For electricity use at contestable sites</t>
  </si>
  <si>
    <t>For electricity use at regulated sites</t>
  </si>
  <si>
    <t>Streetlighting</t>
  </si>
  <si>
    <t xml:space="preserve">Solar </t>
  </si>
  <si>
    <t>This is for any solar photovoltaic systems to either record or estimate electricity generation</t>
  </si>
  <si>
    <t>Fuel</t>
  </si>
  <si>
    <t>Waste</t>
  </si>
  <si>
    <t>Site</t>
  </si>
  <si>
    <t>Sep</t>
  </si>
  <si>
    <t>Oct</t>
  </si>
  <si>
    <t>Nov</t>
  </si>
  <si>
    <t>Dec</t>
  </si>
  <si>
    <t>Jan</t>
  </si>
  <si>
    <t>Feb</t>
  </si>
  <si>
    <t>Mar</t>
  </si>
  <si>
    <t>Apr</t>
  </si>
  <si>
    <t>May</t>
  </si>
  <si>
    <t>Jun</t>
  </si>
  <si>
    <t>Total consumption for year</t>
  </si>
  <si>
    <t>kWh</t>
  </si>
  <si>
    <t>NMI</t>
  </si>
  <si>
    <t>Parks</t>
  </si>
  <si>
    <t>Column1</t>
  </si>
  <si>
    <t>Facility</t>
  </si>
  <si>
    <t>System Capacity (kW)</t>
  </si>
  <si>
    <t>Jul-Sep</t>
  </si>
  <si>
    <t>Oct-Dec</t>
  </si>
  <si>
    <t>Jan-Mar</t>
  </si>
  <si>
    <t>Apr-Jun</t>
  </si>
  <si>
    <t>Annual Generation (Calculated) (kWh)</t>
  </si>
  <si>
    <t>Annual Generation (Actual) (kWh)</t>
  </si>
  <si>
    <t>Calculated using system capacity</t>
  </si>
  <si>
    <t>From inverter reading records</t>
  </si>
  <si>
    <t>Resident population</t>
  </si>
  <si>
    <t>Estimated waste generated per person</t>
  </si>
  <si>
    <t>Tonnes per year</t>
  </si>
  <si>
    <t>Total mixed waste generated</t>
  </si>
  <si>
    <t>Input Watts</t>
  </si>
  <si>
    <t>Sodium vapour 150 watts</t>
  </si>
  <si>
    <t>Incandescent 60 watts</t>
  </si>
  <si>
    <t>Sodium vapour 400 watts</t>
  </si>
  <si>
    <t>Sodium vapour 250 watts</t>
  </si>
  <si>
    <t>Fluorescent 2x20 watts</t>
  </si>
  <si>
    <t>Sodium vapour 70 watts</t>
  </si>
  <si>
    <t>Sodium vapour 100 watts</t>
  </si>
  <si>
    <t>Fluorescent 2x40 watts</t>
  </si>
  <si>
    <t>Fluorescent T5 2x24 watts</t>
  </si>
  <si>
    <t>Compact Fluorescent (CFL) 42 watts</t>
  </si>
  <si>
    <t>Mercury vapour 50 watts</t>
  </si>
  <si>
    <t>Mercury vapour 80 watts</t>
  </si>
  <si>
    <t>Mercury vapour 125 watts</t>
  </si>
  <si>
    <t>Mercury vapour 250 watts</t>
  </si>
  <si>
    <t>Mercury vapour 400 watts</t>
  </si>
  <si>
    <t>Metal Halide 100 watts</t>
  </si>
  <si>
    <t>Fluorescent 1x20 watts</t>
  </si>
  <si>
    <t>Fluorescent 1x40 watts</t>
  </si>
  <si>
    <t>Fluorescent 4x20 watts</t>
  </si>
  <si>
    <t>Fluorescent 3x40 watts</t>
  </si>
  <si>
    <t>Fluorescent 4x40 watts</t>
  </si>
  <si>
    <t>Incandescent 100 watts</t>
  </si>
  <si>
    <t>Compact Fluorescent (CFL) 32 watts</t>
  </si>
  <si>
    <t>LED 175 watts</t>
  </si>
  <si>
    <t>LED 75 watts</t>
  </si>
  <si>
    <t>LED 14 watts</t>
  </si>
  <si>
    <t>LED 18 watts</t>
  </si>
  <si>
    <t>LED 25 watts</t>
  </si>
  <si>
    <t xml:space="preserve">Options for providing data are to: </t>
  </si>
  <si>
    <t xml:space="preserve">While the hours per day vary with day length and weather conditions, this is the value used by TasNetworks to calculate electricity use.  </t>
  </si>
  <si>
    <t>Options for Data Input</t>
  </si>
  <si>
    <t>Buildings and Fixed Asset Fuel Use (Stationary Use)</t>
  </si>
  <si>
    <t>Category of Use</t>
  </si>
  <si>
    <t>LPG (litres)</t>
  </si>
  <si>
    <t>Natural Gas (GJ)</t>
  </si>
  <si>
    <t>Other</t>
  </si>
  <si>
    <t>LPG (bottle size)</t>
  </si>
  <si>
    <t>Litres</t>
  </si>
  <si>
    <t>3.7kg</t>
  </si>
  <si>
    <t>8.5kg</t>
  </si>
  <si>
    <t>18kg (forklift)</t>
  </si>
  <si>
    <t>45kg</t>
  </si>
  <si>
    <t>90kg</t>
  </si>
  <si>
    <t>210kg</t>
  </si>
  <si>
    <t>15kg (forklift)</t>
  </si>
  <si>
    <t>Factors for LPG Bottle Size</t>
  </si>
  <si>
    <t>Vehicles and Plant Use (including fuel use for small plant, mobile generators)</t>
  </si>
  <si>
    <t>Fuel Type</t>
  </si>
  <si>
    <t>Amount of Fuel</t>
  </si>
  <si>
    <t>Unit</t>
  </si>
  <si>
    <t>Fuel Types</t>
  </si>
  <si>
    <t>Diesel</t>
  </si>
  <si>
    <t>Petrol</t>
  </si>
  <si>
    <t>E10</t>
  </si>
  <si>
    <t>LPG</t>
  </si>
  <si>
    <t>CNG</t>
  </si>
  <si>
    <t>Electricity</t>
  </si>
  <si>
    <t>Usage</t>
  </si>
  <si>
    <t>Energy Used (GJ)</t>
  </si>
  <si>
    <t>GHG Emissions (tCO2-e)</t>
  </si>
  <si>
    <t>Units</t>
  </si>
  <si>
    <t>Vehicle and Plant Summary Table</t>
  </si>
  <si>
    <t>Vehicle and Plant Individual Equipment Table</t>
  </si>
  <si>
    <t>Where a vehicle is dual fuelled eg LPG and petrol, or is a plug in hybrid with fuel and electricity enter two separate lines in the detailed table below, one for each fuel type.  If aggregated elsewhere put electricty into relevant green highlighted cell in Summary Table.</t>
  </si>
  <si>
    <t>National Greenhouse and Energy Reporting Factor and Other Supporting Tables used in Spreadsheet</t>
  </si>
  <si>
    <t>Electricity (Tasmania emissions factor)</t>
  </si>
  <si>
    <t xml:space="preserve">2009/10 </t>
  </si>
  <si>
    <t xml:space="preserve">2010/11 </t>
  </si>
  <si>
    <t xml:space="preserve">2011/12 </t>
  </si>
  <si>
    <t xml:space="preserve">2012/13 </t>
  </si>
  <si>
    <t xml:space="preserve">2013/14 </t>
  </si>
  <si>
    <t xml:space="preserve">2014/15 </t>
  </si>
  <si>
    <t xml:space="preserve">2016/17 </t>
  </si>
  <si>
    <t xml:space="preserve">2017/18 </t>
  </si>
  <si>
    <t xml:space="preserve">2018/19 </t>
  </si>
  <si>
    <t>Year</t>
  </si>
  <si>
    <t>2021/22</t>
  </si>
  <si>
    <t>2020/21</t>
  </si>
  <si>
    <t>2019/20</t>
  </si>
  <si>
    <t>Fuel Combustion Emissions Factors</t>
  </si>
  <si>
    <t>Diesel oil</t>
  </si>
  <si>
    <t>Fuel oil</t>
  </si>
  <si>
    <t>Liquefied petroleum gas</t>
  </si>
  <si>
    <t>Biodiesel</t>
  </si>
  <si>
    <t>Vehicle and Plant Use</t>
  </si>
  <si>
    <t xml:space="preserve">Gasoline </t>
  </si>
  <si>
    <t>Ethanol for use as fuel in an ICE</t>
  </si>
  <si>
    <t>Other Biofuels</t>
  </si>
  <si>
    <t>CO2</t>
  </si>
  <si>
    <t>CH4</t>
  </si>
  <si>
    <t>N2O</t>
  </si>
  <si>
    <t>Stationary Duty</t>
  </si>
  <si>
    <t>Heating Oil (litres)</t>
  </si>
  <si>
    <t>Diesel (litres)</t>
  </si>
  <si>
    <t>Total Annual Diesel (litres)</t>
  </si>
  <si>
    <t>GHG Emissions</t>
  </si>
  <si>
    <t>Energy Content (GJ)</t>
  </si>
  <si>
    <t>Note: Blue cells are calculated using data entabulated in the Factors and Tables worksheet or this worksheet</t>
  </si>
  <si>
    <t>Life time methane generation</t>
  </si>
  <si>
    <t>Method 2: Waste quanities not known and a kerside green waste collection</t>
  </si>
  <si>
    <t>Calculated Values</t>
  </si>
  <si>
    <t>Green Waste Process</t>
  </si>
  <si>
    <t>Composting</t>
  </si>
  <si>
    <t>Mulching only</t>
  </si>
  <si>
    <t>Green Waste Processing Method (Drop down menu)</t>
  </si>
  <si>
    <t>Item</t>
  </si>
  <si>
    <t>Amount</t>
  </si>
  <si>
    <t>Destination Landfill (drop down menu)</t>
  </si>
  <si>
    <t>Copping</t>
  </si>
  <si>
    <t>Jackson Street</t>
  </si>
  <si>
    <t>McRobies Gully</t>
  </si>
  <si>
    <t>tCO2-e</t>
  </si>
  <si>
    <t>persons</t>
  </si>
  <si>
    <t>Estimated total waste generated per person (incl green waste)</t>
  </si>
  <si>
    <t>Green Waste</t>
  </si>
  <si>
    <t>Green waste (methane and nitrous oxide) emissions</t>
  </si>
  <si>
    <t>Combined GHG Emissions</t>
  </si>
  <si>
    <t>Method 3:  Waste quantities known with or without green waste collection</t>
  </si>
  <si>
    <t>Peppermint Hill</t>
  </si>
  <si>
    <t>Hamilton</t>
  </si>
  <si>
    <t>Tonnes</t>
  </si>
  <si>
    <t>This worksheet contains three methods for calculating council managed waste (ie waste collected at kerbside or at waste transfer stations or deposited at council managed landfill.</t>
  </si>
  <si>
    <t>Source of Emissions</t>
  </si>
  <si>
    <t>Destination Landfill</t>
  </si>
  <si>
    <t xml:space="preserve">2015/16 </t>
  </si>
  <si>
    <t>Heating oil</t>
  </si>
  <si>
    <t>Naphtha</t>
  </si>
  <si>
    <t>Gasoline (ie Petrol)</t>
  </si>
  <si>
    <t xml:space="preserve">Ethanol </t>
  </si>
  <si>
    <t>Other biofuels</t>
  </si>
  <si>
    <t>Total Scope 2 GHG Emissions</t>
  </si>
  <si>
    <t>tonnes CO2-e</t>
  </si>
  <si>
    <t>The Site Category column is provided so that a sectoral summary can be provided ie emissions and energy for Parks, Community Halls etc.  Please select from the Drop down menu</t>
  </si>
  <si>
    <t>Notes</t>
  </si>
  <si>
    <t>Dry wood</t>
  </si>
  <si>
    <t>Green and air dried wood</t>
  </si>
  <si>
    <t>Charcoal</t>
  </si>
  <si>
    <t>Coal briquettes</t>
  </si>
  <si>
    <t>GJ/kL</t>
  </si>
  <si>
    <t>GJ/m3</t>
  </si>
  <si>
    <t>GJ/tonne</t>
  </si>
  <si>
    <t>Note: There are several other fuel types listed in the Determination which can be added to this list if required</t>
  </si>
  <si>
    <t>Wood (tonnes)</t>
  </si>
  <si>
    <t>Table for Drop Down Menu for Fleet Fuel Type</t>
  </si>
  <si>
    <t>Tables for Drop Down Menus in Waste sheet</t>
  </si>
  <si>
    <t xml:space="preserve">Drop Down Menu Tables </t>
  </si>
  <si>
    <t>Emission Factor Tables</t>
  </si>
  <si>
    <t xml:space="preserve">Landfill </t>
  </si>
  <si>
    <t>No green waste collection</t>
  </si>
  <si>
    <t xml:space="preserve">General Waste </t>
  </si>
  <si>
    <t>With green waste collection</t>
  </si>
  <si>
    <t>Waste Source Decription</t>
  </si>
  <si>
    <t>Greenhouse Gas</t>
  </si>
  <si>
    <t>Methane</t>
  </si>
  <si>
    <t>Nitrous Oxide</t>
  </si>
  <si>
    <t>Composting Waste Emission Factor from Division 5.2.6 of NGER Determination</t>
  </si>
  <si>
    <t>Emissions (tCO2-e/tonne of green waste)</t>
  </si>
  <si>
    <t>Input Year of Inventory</t>
  </si>
  <si>
    <t>Usage/Export (kWh)</t>
  </si>
  <si>
    <t>Energy (GJ)</t>
  </si>
  <si>
    <t>Petrol and E10 (litres)</t>
  </si>
  <si>
    <t>CNG (GJ)</t>
  </si>
  <si>
    <t>General Waste</t>
  </si>
  <si>
    <t>Total Waste</t>
  </si>
  <si>
    <t>Waste Quantity (tonnes)</t>
  </si>
  <si>
    <t>Type of Waste</t>
  </si>
  <si>
    <t>This worksheet provides the summary information as derived from the data put into the worksheets for the various types of greenhouse gas emissions with all cells with blue highlighting derived by calculation from the various worksheets</t>
  </si>
  <si>
    <t>Days in Year and February</t>
  </si>
  <si>
    <t>February</t>
  </si>
  <si>
    <t>Electricity Scope 2</t>
  </si>
  <si>
    <t>Electricity Scope 3</t>
  </si>
  <si>
    <t>Electricity Scope 2 + Scope 3</t>
  </si>
  <si>
    <t>Categories of Use (for Drop Down Menus)</t>
  </si>
  <si>
    <t>Emission Factor (kgCO2-e/GJ)</t>
  </si>
  <si>
    <t>Fuel Use by Category Known</t>
  </si>
  <si>
    <t>Method of Data Input (Drop Down Menu)</t>
  </si>
  <si>
    <t>Single Total</t>
  </si>
  <si>
    <t>Aggregated by Site</t>
  </si>
  <si>
    <t>Aggregated by Month</t>
  </si>
  <si>
    <t>By Site and Month</t>
  </si>
  <si>
    <t>Input Aggregated Total Consumption (kWh)</t>
  </si>
  <si>
    <t>Input Site Annual Totals</t>
  </si>
  <si>
    <t>Method of Data Entry (Contestable)</t>
  </si>
  <si>
    <t>Method of Data Entry (Regulated)</t>
  </si>
  <si>
    <t>Aggregated by Quarter</t>
  </si>
  <si>
    <t>By Site and Quarter</t>
  </si>
  <si>
    <t>Do not enter data into cells highlighted in blue background as these have calculations required by the inventory tool</t>
  </si>
  <si>
    <t>2nd Qtr (Oct - Dec)</t>
  </si>
  <si>
    <t>3rd Qtr (Jan - Mar)</t>
  </si>
  <si>
    <t>4th Qtr (Apr - Jun)</t>
  </si>
  <si>
    <t>This selection is required to determine where data is retrieved from for calculation of Total Consumption figure</t>
  </si>
  <si>
    <t>Input Aggregated Quarterly Electricity (kWh)</t>
  </si>
  <si>
    <t>Total Electricity Usage (kWh)</t>
  </si>
  <si>
    <t>Input Total Annual Electricity Use (kWh)</t>
  </si>
  <si>
    <t>The option used needs to be entered in the cell in pink as this is used to set the calculation of total usage</t>
  </si>
  <si>
    <t>Hours per day</t>
  </si>
  <si>
    <t xml:space="preserve">Option 2: Input Monthly Total Electricity </t>
  </si>
  <si>
    <t>Monthly Total Electricity (kWh)</t>
  </si>
  <si>
    <t>Method of Data Entry (Streetlighing)</t>
  </si>
  <si>
    <t>Drop Down Menus for Electricity worksheets</t>
  </si>
  <si>
    <t>By light nos &amp; month</t>
  </si>
  <si>
    <t>Single Annual Usage Total</t>
  </si>
  <si>
    <t>Option 3: Input Light Numbers by Type and Month</t>
  </si>
  <si>
    <t>Month</t>
  </si>
  <si>
    <t>Number of Days</t>
  </si>
  <si>
    <t>Unmetered Streetlighting Hours of Operation and Days in month</t>
  </si>
  <si>
    <t>Aug</t>
  </si>
  <si>
    <t>Light Type</t>
  </si>
  <si>
    <t>Jul</t>
  </si>
  <si>
    <t>Total No of Lights (Calculated)</t>
  </si>
  <si>
    <t>Option 1: Input Total Annual Electricity Usage</t>
  </si>
  <si>
    <t xml:space="preserve">Input Data into Cells Highlighted in Pink </t>
  </si>
  <si>
    <t>Monthly Totals (Calculated)</t>
  </si>
  <si>
    <t>Annual generation per kW (in kWh)</t>
  </si>
  <si>
    <t>Name of Council</t>
  </si>
  <si>
    <t>Please Input the Year of Inventory and Name of Council in the cells in pink highlight below, selecting from the dropdown menus as these will be used to select some factors in the spreadsheet calculations.</t>
  </si>
  <si>
    <t>Brighton Council</t>
  </si>
  <si>
    <t>Central Highlands Council</t>
  </si>
  <si>
    <t>Derwent Valley Council</t>
  </si>
  <si>
    <t>Clarence City Council</t>
  </si>
  <si>
    <t>Glenorchy City Council</t>
  </si>
  <si>
    <t>Hobart City Council</t>
  </si>
  <si>
    <t>Kingborough Council</t>
  </si>
  <si>
    <t>Huon Valley Council</t>
  </si>
  <si>
    <t>Sorell Council</t>
  </si>
  <si>
    <t>Southern Midlands Council</t>
  </si>
  <si>
    <t>Tasman Council</t>
  </si>
  <si>
    <t>Glamorgan Spring Bay Council</t>
  </si>
  <si>
    <t>List of Council Names</t>
  </si>
  <si>
    <t>Insolation (GJ/m2/yr)</t>
  </si>
  <si>
    <t>Blackmans Bay</t>
  </si>
  <si>
    <t>Huonville</t>
  </si>
  <si>
    <t>New Norfolk</t>
  </si>
  <si>
    <t>Brighton</t>
  </si>
  <si>
    <t>Oatlands</t>
  </si>
  <si>
    <t>Sorell</t>
  </si>
  <si>
    <t>Nubeena</t>
  </si>
  <si>
    <t>BoM Site</t>
  </si>
  <si>
    <t>Glenorchy Reservoir</t>
  </si>
  <si>
    <t xml:space="preserve">Mt Rumney </t>
  </si>
  <si>
    <t>Swansea (Belmont)</t>
  </si>
  <si>
    <t>Battery Pt (Ellerslie Rd)</t>
  </si>
  <si>
    <t>Input Export Data from Quarterly or Aggregated Monthly Invoices</t>
  </si>
  <si>
    <t>Annual Export (Calculated from quarterly data) (kWh)</t>
  </si>
  <si>
    <t>Calculated Total Annual Onsite Usage (kWh)</t>
  </si>
  <si>
    <t>Calculated Total Annual Export (kWh)</t>
  </si>
  <si>
    <t>Activity Category</t>
  </si>
  <si>
    <t>Vehicle &amp; Plant Activity Category</t>
  </si>
  <si>
    <t>Civil Works</t>
  </si>
  <si>
    <t>Depot Operations</t>
  </si>
  <si>
    <t>Note: Only put in electricity use where not accounted for under the council's own metered electricity and where amount is known (eg electricity from fast charging stations which are not owned or metered by the council)</t>
  </si>
  <si>
    <t>Stationary Use Summary Table</t>
  </si>
  <si>
    <t>Note: Stationary use is the term used in the greenhouse gas account factors and some of factors differ from those used for the internal combustion engines for vehicles and plant for the same fuel.</t>
  </si>
  <si>
    <t xml:space="preserve">This worksheet is for both fleet use (such vehicles and plant) and for "stationary" use such as buildings (including remote area or backup  power supplies with generators), natural gas or LPG hot water systems, heating oil or LPG gas heating and gas fired or firewood barbeques.  </t>
  </si>
  <si>
    <t>Total Energy &amp; GHG Emissions for all fuel types (Stationary Use)</t>
  </si>
  <si>
    <t>An Activity Category column is provided in the table below to allocate energy and emissions to different activities to assist councils and the community in looking at the overall emissions from an activity.  If the vehicle or plant is used for a range of activities use General Fleet, if used solely or primarily for one of the activities select the relevant option</t>
  </si>
  <si>
    <t>Total Use of Each Fuel Type</t>
  </si>
  <si>
    <t>Fuel Use for each Activity Category &amp; Fuel Type</t>
  </si>
  <si>
    <t>Total Usage (Direct Input)</t>
  </si>
  <si>
    <t>Total Usage Calculated from below</t>
  </si>
  <si>
    <t>Data inputted for Fuel Use in different Activity Categories or Totals for Each Fuel only?</t>
  </si>
  <si>
    <t>Total Annual Petrol (litres)</t>
  </si>
  <si>
    <t>Total Annual E10 Petrol (litres)</t>
  </si>
  <si>
    <t>Total Annual LPG (litres)</t>
  </si>
  <si>
    <t>Total Annual Compressed Natural Gas (GJ)</t>
  </si>
  <si>
    <t>Electricity Use (not from council metered sites) (kWh)</t>
  </si>
  <si>
    <t>Total Usage (Calculated from Table Below)</t>
  </si>
  <si>
    <t>Usage                (Direct Input)</t>
  </si>
  <si>
    <t>Is fuel data provided for each vehicle or only summary totals for each fuel?</t>
  </si>
  <si>
    <t>Fuel Data for Each Vehicle/Plant Item</t>
  </si>
  <si>
    <t>Totals for Each Fuel Type only</t>
  </si>
  <si>
    <t>Vehicle Fuel Use</t>
  </si>
  <si>
    <t>General Fleet Operations</t>
  </si>
  <si>
    <t>Aquatic Centres &amp; Gyms</t>
  </si>
  <si>
    <t>Office &amp; Administration</t>
  </si>
  <si>
    <t>Calculated Total</t>
  </si>
  <si>
    <t>This selection is required to determine where data is retrieved from for calculation of Total Consumption figure.  The default option is for data for each site and quarter to be entered.</t>
  </si>
  <si>
    <t>Aggregated Quarterly Data Across All Sites</t>
  </si>
  <si>
    <t>Calculated Site Annual Totals</t>
  </si>
  <si>
    <t>1st Qtr              (Jul - Sep)</t>
  </si>
  <si>
    <t>For regulated sites data is typically provided quarterly and by Site/NMI and this can be put into each of the cells marked in pink below for each facility.  If data is aggregated please select relevant option at Cell B13.  If annual totals have been aggregated in another spreadsheet or software for each facility/site then enter annual totals into cells in Column D highlighted in green, if aggregated by month for all sites put purple cells in row 18 or if aggregated into a single total for all months and sites put in cell B15 highlighted in orange.</t>
  </si>
  <si>
    <t>Energy Conversion Factor</t>
  </si>
  <si>
    <t>Fleet Fuel Type (as per Drop Down Menu)</t>
  </si>
  <si>
    <t>Stationary duty Fuel Type (as per Drop down Menu</t>
  </si>
  <si>
    <t xml:space="preserve">Fuel Type (Total </t>
  </si>
  <si>
    <t>litres</t>
  </si>
  <si>
    <t>GJ</t>
  </si>
  <si>
    <t>tonnes</t>
  </si>
  <si>
    <t>Natural Gas</t>
  </si>
  <si>
    <t>Heating Oil</t>
  </si>
  <si>
    <t>Wood</t>
  </si>
  <si>
    <t>Emission Conversion Factor (From GJ)</t>
  </si>
  <si>
    <t/>
  </si>
  <si>
    <t>kWh/kW capacity</t>
  </si>
  <si>
    <t xml:space="preserve">Standard Annual Solar Panel Generation </t>
  </si>
  <si>
    <t>Uses Hobart City Council area as reference</t>
  </si>
  <si>
    <t>National Greenhouse and Energy Reporting System and National Greenhouse Account Factors</t>
  </si>
  <si>
    <t>Street Lighting (incl Metered)</t>
  </si>
  <si>
    <t>2022/23</t>
  </si>
  <si>
    <t>2023/24</t>
  </si>
  <si>
    <t>2024/25</t>
  </si>
  <si>
    <t>2025/26</t>
  </si>
  <si>
    <t>Natural gas (from pipeline)</t>
  </si>
  <si>
    <t>Landfill biogas used for combustion</t>
  </si>
  <si>
    <t>CNG (Light Duty Vehicles)</t>
  </si>
  <si>
    <t>CNG (Heavy Duty Vehicles)</t>
  </si>
  <si>
    <t>Section 5.12</t>
  </si>
  <si>
    <t xml:space="preserve"> Sect 5.14A</t>
  </si>
  <si>
    <t>Waste Type</t>
  </si>
  <si>
    <t>DOC</t>
  </si>
  <si>
    <t>DOCf</t>
  </si>
  <si>
    <t>Food waste</t>
  </si>
  <si>
    <t>Paper and Cardboard</t>
  </si>
  <si>
    <t>Garden and park</t>
  </si>
  <si>
    <t>Textiles</t>
  </si>
  <si>
    <t>Sludge</t>
  </si>
  <si>
    <t>Nappies</t>
  </si>
  <si>
    <t>Rubber and leather</t>
  </si>
  <si>
    <t>Inert waste</t>
  </si>
  <si>
    <t>MSW</t>
  </si>
  <si>
    <t>C&amp;I</t>
  </si>
  <si>
    <t>C&amp;D</t>
  </si>
  <si>
    <t>Source of Factor</t>
  </si>
  <si>
    <t>Sect 5.14</t>
  </si>
  <si>
    <t>k value</t>
  </si>
  <si>
    <t>Default Waste Composition for Tasmania from section 5.10</t>
  </si>
  <si>
    <t>From Section 5.11</t>
  </si>
  <si>
    <t>MSW class I</t>
  </si>
  <si>
    <t>MSW class II</t>
  </si>
  <si>
    <t>Default Composition of Waste Types</t>
  </si>
  <si>
    <t>Methane and Oxidation Factors</t>
  </si>
  <si>
    <t>Factor</t>
  </si>
  <si>
    <t>Source of Data</t>
  </si>
  <si>
    <t>Waste Category</t>
  </si>
  <si>
    <t>Percentage of Mixed Waste to Landfill</t>
  </si>
  <si>
    <t>Emissions factor</t>
  </si>
  <si>
    <t>Methane (tCO2-e/tonne green waste)</t>
  </si>
  <si>
    <t>Nitrous Oxide (tCO2-e/tonne green waste)</t>
  </si>
  <si>
    <t>Waste Disposal &amp; Treatment Factors and Tables</t>
  </si>
  <si>
    <t>Green Waste Treatment</t>
  </si>
  <si>
    <t>From Section 5.14C</t>
  </si>
  <si>
    <t>Fraction of DOC converting to methane (F)</t>
  </si>
  <si>
    <t>Oxidation Factor (OF)</t>
  </si>
  <si>
    <t>From Section 5.4</t>
  </si>
  <si>
    <t>This worksheet is to be updated in accordance with the latest versions of the National Greenhouse and Energy Reporting (Measurement) Determination 2008 and the National Greehouse Gas Account Factors, noting that the NGER Determination takes precedence.</t>
  </si>
  <si>
    <t>Changes to this sheet will update values in the Factors and Tables worksheet, that support calculations in the data input worksheets.</t>
  </si>
  <si>
    <t xml:space="preserve">Waste Emissions Factors (Life time emissions) for Waste Disposed to Landfill -  Calculated Separately Using Method 1 in Section 5 of the NGER Determination </t>
  </si>
  <si>
    <t>CO2-e with 75% LFG efficiency</t>
  </si>
  <si>
    <t>Methane Generation Rate (less oxidation) kg/tonne</t>
  </si>
  <si>
    <t>Global Warming Potentials</t>
  </si>
  <si>
    <t>Greenhouse Gases</t>
  </si>
  <si>
    <t>Global Warming Potentials are set in the table in regulation 2.02 of the NGER Regulations, the value mentioned in column 4 for that item.</t>
  </si>
  <si>
    <t>NGER Determination Factors related to Greenhouse Emissions from Waste Disposal or Treatment</t>
  </si>
  <si>
    <t>Degradable (DOC) and Decomposable (DOCf) Organic Carbon</t>
  </si>
  <si>
    <t>GHG Emissions (less oxidation) (tCO2-e/tonne)</t>
  </si>
  <si>
    <t>CO2-e at 75% effic with combustion</t>
  </si>
  <si>
    <t>Landfill Gas Removal Efficiency</t>
  </si>
  <si>
    <t>Waste Emission for Combined Waste</t>
  </si>
  <si>
    <t>Combined Waste Components</t>
  </si>
  <si>
    <t>tCO2-e/tonne waste</t>
  </si>
  <si>
    <t>Waste Emissions for Tasmanian Default Waste Composition for No Landfill Gas Collection and No Kerbside Green Waste Collection</t>
  </si>
  <si>
    <t>Waste Emissions for Tasmanian Default Waste Composition for No Landfill Gas Collection with Kerbside Green Waste Collection</t>
  </si>
  <si>
    <t>With FOGO Collection</t>
  </si>
  <si>
    <t>Estimated Waste Composition</t>
  </si>
  <si>
    <t>Waste Emissions for Tasmanian Default Waste Composition for No Landfill Gas Collection with Kerbside FOGO Waste Collection</t>
  </si>
  <si>
    <t>Assumed rate of diversion of food waste</t>
  </si>
  <si>
    <t>MSW Percent with FOGO</t>
  </si>
  <si>
    <t>Destination Landfill for general waste (Drop down menu)</t>
  </si>
  <si>
    <t>Default value if not known is 0.4 tonnes per person</t>
  </si>
  <si>
    <t>Default value if not known is 0.1 tonnes per person</t>
  </si>
  <si>
    <t>Landfilled waste GHG emissions (less oxidation)</t>
  </si>
  <si>
    <t>Landfilled waste life time methane emissions (less oxidation)</t>
  </si>
  <si>
    <t>Total waste generated going to landfill</t>
  </si>
  <si>
    <t>Quantity of kerbside FOGO waste</t>
  </si>
  <si>
    <t>Default value is 0.4 tonnes per person per year</t>
  </si>
  <si>
    <t>Method of calculating waste emissions</t>
  </si>
  <si>
    <t>Method 1</t>
  </si>
  <si>
    <t>Method 2</t>
  </si>
  <si>
    <t>Method 3</t>
  </si>
  <si>
    <t>FOGO Waste</t>
  </si>
  <si>
    <t>Which method is being used? (Select from drop down menu)</t>
  </si>
  <si>
    <t>Summary Table (this table uses values calculated in tables below)</t>
  </si>
  <si>
    <t>This is required to populate the Summary Table from the correct data</t>
  </si>
  <si>
    <t>Tonnes of Waste</t>
  </si>
  <si>
    <t>Resident population with FOGO waste collection</t>
  </si>
  <si>
    <t>Estimated FOGO waste collection per person</t>
  </si>
  <si>
    <t>FOGO Waste Processing Method (Drop down menu)</t>
  </si>
  <si>
    <t>Landfilled Waste Life Time Methane Emission</t>
  </si>
  <si>
    <t>tonnes methane</t>
  </si>
  <si>
    <t>FOGO waste (methane and nitrous oxide) emissions</t>
  </si>
  <si>
    <t>Total FOGO waste going to composting</t>
  </si>
  <si>
    <t>Total green waste going to composting</t>
  </si>
  <si>
    <t>Summary</t>
  </si>
  <si>
    <t>This worksheet consolidates all of the data into a summary page</t>
  </si>
  <si>
    <t>For electricty use by unmetered streetlighting</t>
  </si>
  <si>
    <t>This is for vehicle and plant fuel use, along with LPG, gas and other fuel use at facilities ("stationary use")</t>
  </si>
  <si>
    <t>Factors and Tables</t>
  </si>
  <si>
    <t>This sheet provides background data and information used in the calculations in the other worksheets</t>
  </si>
  <si>
    <t>NGER &amp; GHG Acct Factors</t>
  </si>
  <si>
    <t>This sheet contains the information from the NGER (Measurement) Determination and National Greenhouse Account Factors</t>
  </si>
  <si>
    <t> Parks – this is for landscaped parks and gardens,</t>
  </si>
  <si>
    <t>playgrounds but does not include sporting</t>
  </si>
  <si>
    <t> Sporting – for sporting ovals and grounds.  These can</t>
  </si>
  <si>
    <t>have high electricity use from tower lights and the like.  This activity</t>
  </si>
  <si>
    <t>would not include aquatic centres and gyms for reasons noted against that</t>
  </si>
  <si>
    <t>category.</t>
  </si>
  <si>
    <t> Community Halls &amp; Services – I have included services as</t>
  </si>
  <si>
    <t>some councils run medical centres or other local services that extend beyond</t>
  </si>
  <si>
    <t>Halls and might include community buses etc</t>
  </si>
  <si>
    <t> Aquatic Centres &amp; Gyms  - I have suggested this as</t>
  </si>
  <si>
    <t>a separate activity due to the high energy use and emissions, particularly for</t>
  </si>
  <si>
    <t>Aquatic Centres, which would otherwise swamp the energy and emissions from</t>
  </si>
  <si>
    <t>other Sporting facilities</t>
  </si>
  <si>
    <t> Pumping &amp; Fountains  - I am not so sure about this</t>
  </si>
  <si>
    <t>one – but there may be significant pumping operations for some councils eg</t>
  </si>
  <si>
    <t>irrigation of ovals from non-TasWater supplies (if this is not the case then</t>
  </si>
  <si>
    <t>maybe this could be distributed amongst the other categories).  Fountains</t>
  </si>
  <si>
    <t>may be put with Parks or other categories</t>
  </si>
  <si>
    <t> Carpark Operations &amp; Vehicle Charging  - I have put</t>
  </si>
  <si>
    <t>this in as Hobart has a lot pf electricity use in stand-alone carparks, which</t>
  </si>
  <si>
    <t>at least some other councils don’t – so it would make the other categories more</t>
  </si>
  <si>
    <t>comparable between councils.  Also I have put in vehicle charging as this</t>
  </si>
  <si>
    <t>could become a significant amount of energy over time and again some councils</t>
  </si>
  <si>
    <t>may provided fast charge stations while other don’t.  If vehicle chargers</t>
  </si>
  <si>
    <t>are separately metered it may be that this could be a category of its own.</t>
  </si>
  <si>
    <t>Street Lighting (incl Metered) – this is for both</t>
  </si>
  <si>
    <t>TasNetworks lights and for Council owned and managed street and footpath</t>
  </si>
  <si>
    <t>lighting (eg for Hobart the CBD area)</t>
  </si>
  <si>
    <t> Waste Facilities &amp; Transportation – this is for the</t>
  </si>
  <si>
    <t>running of waste transfer stations and landfills, and collection and transport</t>
  </si>
  <si>
    <t>services.  I think Hobart is the only STCA council to operate its own</t>
  </si>
  <si>
    <t>rubbish and recycling collection trucks – so again this category is to exclude</t>
  </si>
  <si>
    <t>an activity where the scope varies greatly between councils such that it</t>
  </si>
  <si>
    <t>doesn’t swamp emissions for the activity it would otherwise sit in</t>
  </si>
  <si>
    <t> Waste Disposal and Treatment – this is for the emissions</t>
  </si>
  <si>
    <t>from landfilling and composting of the waste collected by or delivered to the</t>
  </si>
  <si>
    <t>council or contractor (ie would not include fuel or electricity use)</t>
  </si>
  <si>
    <t>Civil Works – this is for construction and maintenance</t>
  </si>
  <si>
    <t>activities on roads, stormwater and other similar infrastructure (mostly this</t>
  </si>
  <si>
    <t>will be fleet and plant) – again some councils outsource most or all of this</t>
  </si>
  <si>
    <t>and it may make other activity categories not comparable between councils (at</t>
  </si>
  <si>
    <t>least for Scope 1 and 2 emissions)</t>
  </si>
  <si>
    <t>Outdoor Sporting &amp; Clubrooms</t>
  </si>
  <si>
    <t>Community Services &amp; Halls</t>
  </si>
  <si>
    <t>Onsite Use - Calculated (kWh)</t>
  </si>
  <si>
    <t>Description</t>
  </si>
  <si>
    <t>Worksheet Title</t>
  </si>
  <si>
    <t>If figure provided as total by provider or energy data management system. Quarterly data by site is preferred.</t>
  </si>
  <si>
    <t>Do not amend or delete this table, as it takes data from the contestable worksheet for a query used in the Solar worksheet.  It can be moved if required as this will maintain links.</t>
  </si>
  <si>
    <t>Use this if data is provided as annual total only, where data is monthly and/or by light type data should be put into tables at Option 2 or 3.</t>
  </si>
  <si>
    <t>Days per month</t>
  </si>
  <si>
    <t>Pipeline Natural Gas (GJ)</t>
  </si>
  <si>
    <t>Please select which option you are using as calculation will then source correct data for calculations</t>
  </si>
  <si>
    <t>Totals</t>
  </si>
  <si>
    <t>Note: Natural gas usually billed per GJ.  If this isn't the case will need to convert into GJ. For MJ divide by 1,000, for cubic metres multiply by 0.0393.</t>
  </si>
  <si>
    <t>Total Energy Use (GJ)</t>
  </si>
  <si>
    <t>Net Electricity (Usage less exports)</t>
  </si>
  <si>
    <t>Total Electricity Usage (exc Solar)</t>
  </si>
  <si>
    <t>Anaerobic Digestion</t>
  </si>
  <si>
    <t>FOGO Waste Process</t>
  </si>
  <si>
    <t>Methane (composting)</t>
  </si>
  <si>
    <t>Nitrous Oxide (Composting)</t>
  </si>
  <si>
    <t>Methane (anaerobic digestion)</t>
  </si>
  <si>
    <t>Nitrous Oxide (anaerobic digestion)</t>
  </si>
  <si>
    <t>Estimated green waste collection per person (excl FOGO)</t>
  </si>
  <si>
    <t>Resident population with kerbside green waste collection (excl FOGO)</t>
  </si>
  <si>
    <t>Method of processing FOGO waste</t>
  </si>
  <si>
    <t>Green waste</t>
  </si>
  <si>
    <t>Landfilled waste</t>
  </si>
  <si>
    <t>Total of landfilled, green and FOGO wastes</t>
  </si>
  <si>
    <t>Carpark Operations &amp; Vehicle Chargers</t>
  </si>
  <si>
    <t>FOGO Waste Treatment</t>
  </si>
  <si>
    <t>For possible population of relevant cells</t>
  </si>
  <si>
    <t>tonnes of methane</t>
  </si>
  <si>
    <t>Method 1: Waste quanities not known and no green waste collection or composting of green waste to transfer stations</t>
  </si>
  <si>
    <t>Method 2 is for where the amount of waste is not known and there is a green waste collection or composting of green waste areceived at waste facilities</t>
  </si>
  <si>
    <t>Method 1 is for where the amount of waste is not known and there is no green waste collection service and no composting of green waste received at waste facilities</t>
  </si>
  <si>
    <t>The worksheet includes landfiiled waste, composted green waste and composted FOGO collection.  Green waste which is mulched or shredded , but not composted, is not considered to generate direct GHG emissions (though there would be Scope 3 emissions or under Fuel for mulching plant). Kerbside and waste transfer station recycling is not included in these calculations.</t>
  </si>
  <si>
    <t>Method 3 is for where the amounts of waste that a council manages are known via weighbridge or collection truck load cell records</t>
  </si>
  <si>
    <t>Sub-totals</t>
  </si>
  <si>
    <t>Note: These are the main gases applicable to local government operations, other gases included in National Accounts are hydrofluorocarbons, perfluorocarbons, sulfur hexafluoride, nitrogen trifluoride and a range of other synthetic gases.  The only other gases from this list that may be applicable are where refrigerants are leaking from heat pumps and refrigerators or are not captured on decommissioning of these appliances. These gases are not included in this calculator.</t>
  </si>
  <si>
    <t>Note: These were changed on 1 Jluy 2020 for the 2020/21 reporting year onwards</t>
  </si>
  <si>
    <t>Paper &amp; Cardboard</t>
  </si>
  <si>
    <t>Garden &amp; Park</t>
  </si>
  <si>
    <t>Rubber &amp; leather</t>
  </si>
  <si>
    <t>Note: Default values for waste composition have been changed to reflect the green waste that has been diverted</t>
  </si>
  <si>
    <t>Note: Default values for waste composition have been changed to reflect the food and green waste that has been diverted</t>
  </si>
  <si>
    <t>Note: This is not a default value from NGER and is estimated from jurisdictions with FOGO collection eg metro South Australia and City of Hobart data</t>
  </si>
  <si>
    <t>This is for corporate waste and waste managed through council operations and contracts eg kerbisde collections, waste transfer stations and landfills</t>
  </si>
  <si>
    <t>For plug in or battery only electric vehicles enter only the electricity that is not from Council metered EV charging stations or sites.</t>
  </si>
  <si>
    <t>Waste Facilities &amp; Transport</t>
  </si>
  <si>
    <t>Note:  Solar power considered to have no Scope 1 or 2 emissions</t>
  </si>
  <si>
    <t>Note: Exported electricity replacing grid sourced power and given Tasmania electricity GHG coefficient</t>
  </si>
  <si>
    <t>Calculated Total Annual Generation (kWh)</t>
  </si>
  <si>
    <t>Data Sources</t>
  </si>
  <si>
    <t>Total</t>
  </si>
  <si>
    <t>Electricity (kWh)</t>
  </si>
  <si>
    <t>1. If actual generation is known from inverter panel accumulative readings or from web based data from inverter supplier enter total annual value in relevant row in Column F.</t>
  </si>
  <si>
    <t>Note:  This is derived from a typical value (1,225kWh/kW/yr) for Hobart City Council systems (ranging from about 1,000kWh/kW at sites with winter overshadowing to about 1,350kWh/kW for the best oriented sites with no overshadowing) and adjusted for the solar insolation rate for a suitable Bureau of Meteorology station in the specified council area.  If there is historic data or better information then that value can be substituted.</t>
  </si>
  <si>
    <t>Note: Solar power is considered to have zero Scope 1 or 2 emissions</t>
  </si>
  <si>
    <t>Total GHG Emissions (tonnesCO2-e)</t>
  </si>
  <si>
    <t>Excluding Solar Power</t>
  </si>
  <si>
    <t>Including Solar Power</t>
  </si>
  <si>
    <t>Scope 2 GHG Emissions (tCO2-e)</t>
  </si>
  <si>
    <t>If fuel use is known for different Activity Categories please enter data at rows 24 to 34 for overall category analysis.  If fuel use across different activity categories is not available then the total use of each fuel across all activity categories can be put in cells in the summary table ie cells C16 to C20</t>
  </si>
  <si>
    <t>Note: Wood is included in case supplied to barbeques or if there are wood fires in facilities.  Emissions are related to methane &amp; nitrous oxide emissions only (not carbon dioxide) and the related GHG factors are small, so no need to be highly accurate with quantity for GHG emissions, though wood does have a relatively high energy value</t>
  </si>
  <si>
    <t>Note: Cells highlighted in blue in summary table calculate from detailed information in plant itemised table below the summary.  If totals are known or collected elsewhere such as by fuel provider or fleet management system (and detiled information is not avaiable) these can be entered directly into cells B48 to B53 (highlighted in green), however by filling in the detailed table for each vehicle information on the activities that the fleet supports can be identified. The cells marked in blue use the NGER account factors from Factors &amp; Tables worksheet</t>
  </si>
  <si>
    <t>Service Activity Data Provided</t>
  </si>
  <si>
    <t>Yes</t>
  </si>
  <si>
    <t>No</t>
  </si>
  <si>
    <t>LED 240 watts</t>
  </si>
  <si>
    <t>LED 265 watts</t>
  </si>
  <si>
    <t>LED 14 watts (Aldridge)</t>
  </si>
  <si>
    <t>Average no of hours per day (as used by TasNetworks)</t>
  </si>
  <si>
    <t>Activity Category                           (Drop Down Menu)</t>
  </si>
  <si>
    <t>Watts</t>
  </si>
  <si>
    <t>Numbers</t>
  </si>
  <si>
    <t>Sodium vapour 2x400 watts</t>
  </si>
  <si>
    <t>Metal Halide 70 watts</t>
  </si>
  <si>
    <t>Metal Halide 150 watts</t>
  </si>
  <si>
    <t>Metal Halide 250 watts</t>
  </si>
  <si>
    <t>Metal Halide 400 watts</t>
  </si>
  <si>
    <t>LED 17 watts</t>
  </si>
  <si>
    <t>LED 20 watts</t>
  </si>
  <si>
    <t>GE 250 LED 30 watts (GE 250)</t>
  </si>
  <si>
    <t>LED 30 watts (Aldridge)</t>
  </si>
  <si>
    <t>LED Floodlight 155 watts</t>
  </si>
  <si>
    <t>LED Floodlight 200 watts</t>
  </si>
  <si>
    <t>Note: If there are additional light types to those listed add information into the empty cells at bottom of table.</t>
  </si>
  <si>
    <t>1. Copy and pasting annual data table from Aurora Energy into Streetlight Data worksheet</t>
  </si>
  <si>
    <t>2. Put in annual total from billing data into Cell B12 (highlighted in orange)</t>
  </si>
  <si>
    <t>3.  Put in total monthly energy consumption from billing data at line 17 (ie cells highlighted in green)</t>
  </si>
  <si>
    <t>4. Using billing data to list the numbers of lights in each category for each month (ie cells highlighted pink)</t>
  </si>
  <si>
    <t>Note: Populated from data linked to NMI data provided in Monthly/Quarterly worksheets</t>
  </si>
  <si>
    <t>2.  If actual generation data is not available enter the system capacity at Column D and an estimate of generation (at Column E) will be calculated using a standard annual value of kWh per kW.  There is a default value for the selected council at cell B12 highlighted in orange but this can be changed if the council has better data for its solar installations.</t>
  </si>
  <si>
    <t>3.  For the split up between export and onsite usage, either enter "Export data download from Aurora" into Solar Data worksheet or enter data on exported electricity from quarterly electricity invoices (or monthly data aggregated into quarters) .  The onsite usage is calculated by subtracting the annual exported electricity from the annual generation</t>
  </si>
  <si>
    <t>If pasting the annual Aurora export data download in the Solar Data worksheet the Facility address wil be sourced from the data download in the Electricity Data worksheet using the NMI number</t>
  </si>
  <si>
    <t>Enter the rated capacity of solar PV systems at the site</t>
  </si>
  <si>
    <t>City Cleansing</t>
  </si>
  <si>
    <t>Registration Number</t>
  </si>
  <si>
    <t>Fleet Number</t>
  </si>
  <si>
    <t>Fleet Type</t>
  </si>
  <si>
    <t>Make</t>
  </si>
  <si>
    <t>Model</t>
  </si>
  <si>
    <t>Quantity of waste going to Landfill 1</t>
  </si>
  <si>
    <t>Destination landfill for general waste (Landfill 1)</t>
  </si>
  <si>
    <t>Quantity of waste going to Landfill 2</t>
  </si>
  <si>
    <t>Destination landfill for general waste (Landfill 2)</t>
  </si>
  <si>
    <t>Note: Option of two different destination landfills provided for where waste may go to different disposal sites</t>
  </si>
  <si>
    <t>If a direct download of data from Aurora has been made to the Electricity Data worksheet this worksheet will be populated from that data.</t>
  </si>
  <si>
    <t>If using Council's own billing data, billing may not match the standard quarter of the year, and will not exactly match the exact annual consumption.  Using four consecutive quarterly bills should provide a sufficiently accurate summary, unless there has been a major change at the site or facility not covered by the billing periods, in which case an adjustment may need to be made.</t>
  </si>
  <si>
    <t>If there are more than 150 facilities please copy the bottom row of the monthly table for as many rows as needed</t>
  </si>
  <si>
    <t>CO2-e with 65% LFG efficiency</t>
  </si>
  <si>
    <t>CO2-e at 65% effic &amp; combustion</t>
  </si>
  <si>
    <t>Carbon to methane conversion</t>
  </si>
  <si>
    <t>From Section 5.4B</t>
  </si>
  <si>
    <t>Emissions - incl LFG Collection (tCO2-e)</t>
  </si>
  <si>
    <t>Emissions - excl LFG Collection (tCO2-e)</t>
  </si>
  <si>
    <t>Emissions (excl LFG Collection)</t>
  </si>
  <si>
    <t>Emissions (incl LFG Collection)</t>
  </si>
  <si>
    <t>Type of Waste to Landfill</t>
  </si>
  <si>
    <t>No LFG Collection</t>
  </si>
  <si>
    <t>Mulching</t>
  </si>
  <si>
    <t>General waste</t>
  </si>
  <si>
    <t>Waste with kerbside green waste collection</t>
  </si>
  <si>
    <t>Waste with kerbside FOGO collection</t>
  </si>
  <si>
    <t>Quantity of kerbside green waste (not FOGO)</t>
  </si>
  <si>
    <t>Method of processing green waste (not FOGO)</t>
  </si>
  <si>
    <t>Quantity of green waste dropped off processed by composting</t>
  </si>
  <si>
    <t>Quantity of green waste dropped off &amp; being mulched only</t>
  </si>
  <si>
    <t>Default value if not known is 0.125 tonnes per person per year</t>
  </si>
  <si>
    <t>Category</t>
  </si>
  <si>
    <t>Landfill Waste</t>
  </si>
  <si>
    <t>Composted Waste</t>
  </si>
  <si>
    <t>Transport Fuels</t>
  </si>
  <si>
    <t>Other Fuels</t>
  </si>
  <si>
    <t>Energy Use</t>
  </si>
  <si>
    <t>Electricity - Monthly</t>
  </si>
  <si>
    <t>Electricity - Quarterly</t>
  </si>
  <si>
    <t>Electricity Data</t>
  </si>
  <si>
    <t>Streetlighting Data</t>
  </si>
  <si>
    <t>Solar Data</t>
  </si>
  <si>
    <t>Aurora Streetlighting Data Table</t>
  </si>
  <si>
    <t>Type of Fuel Usage</t>
  </si>
  <si>
    <t>Fleet Use</t>
  </si>
  <si>
    <t>Stationary Use</t>
  </si>
  <si>
    <t>Diesel oil (post-2004 vehicles)</t>
  </si>
  <si>
    <t>Diesel oil (Euro iv trucks)</t>
  </si>
  <si>
    <t>Fuel Combustion Emissions Factors (From NGER Determination 2022 Update)</t>
  </si>
  <si>
    <t>Aurora Annual Generation</t>
  </si>
  <si>
    <t>Metered Electricity</t>
  </si>
  <si>
    <t>Annual electricity usage</t>
  </si>
  <si>
    <t>Solar</t>
  </si>
  <si>
    <t>Total capacity of solar panel systems</t>
  </si>
  <si>
    <t>kW</t>
  </si>
  <si>
    <t>Annual feed in electricity</t>
  </si>
  <si>
    <t>Annual total generation (from inverter)</t>
  </si>
  <si>
    <t>Bottle sizes in kilograms - must be converted to litres</t>
  </si>
  <si>
    <t>Fuel - Fleet and Vehicle Use</t>
  </si>
  <si>
    <t>Total Annual Diesel</t>
  </si>
  <si>
    <t>Total Annual Petrol</t>
  </si>
  <si>
    <t>Total Annual E10 Petrol</t>
  </si>
  <si>
    <t>Total Annual LPG</t>
  </si>
  <si>
    <t>Electricity Use (not from council metered sites)</t>
  </si>
  <si>
    <t>Greenhouse Emissions and Energy Footprint - Basic Data Input Sheet</t>
  </si>
  <si>
    <t>Note: Across all retailers (if more than one) and all metered accounts</t>
  </si>
  <si>
    <t>Unmetered Streetlighting Electricity (Note:  May be several streetlighting accounts)</t>
  </si>
  <si>
    <t>Use info from Aurora consolidated data or select all relevant invoices for one month during the year</t>
  </si>
  <si>
    <t>Note:  Will need to add up totals for all solar panel systems</t>
  </si>
  <si>
    <t>Fuel - Stationary Use at Buildings and Facilities (excludes fleet usage)</t>
  </si>
  <si>
    <t>Data Input</t>
  </si>
  <si>
    <t>This is where the Council data for the inventory is input</t>
  </si>
  <si>
    <t>The tool includes a number of worksheets (ie tabs at bottom page) where calculations are performed using data provided in the Data Input worksheet and with the factors used in calculating emissions and energy use from the data provided.</t>
  </si>
  <si>
    <t>All values for greenhouse gas emissions factors and energy contents have been taken from the National Greenhouse and Energy Reporting (Measurement) Determination 2008 as accessed on 30 June 2022.  The National Greenhouse Gas Account Factors document is published annually in August and this has a more easily readable listing of these factors, but is not always in accoudance with the Determination.  Those organisations having to report under the NGER legislation must use the values in the Determination. N</t>
  </si>
  <si>
    <t>Greenhouse Gas Emissions and Energy Use Corporate Inventory Calculator for STCA Councils - Basic Version</t>
  </si>
  <si>
    <t>Not applicable for basic version of calculator</t>
  </si>
  <si>
    <t>Energy usage in gigajoules</t>
  </si>
  <si>
    <t>Monthly amount</t>
  </si>
  <si>
    <t>Accumulated from month onwards</t>
  </si>
  <si>
    <t>Solar generation per month (% of annual)</t>
  </si>
  <si>
    <t>If Solar panels installed during the year, the capacity for that system must be multiplied by the factor for the month it started generating electricity</t>
  </si>
  <si>
    <t>Total Annual Compressed Natural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</si>
</sst>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_-;\-* #,##0_-;_-* &quot;-&quot;??_-;_-@_-"/>
    <numFmt numFmtId="165" formatCode="0.0"/>
    <numFmt numFmtId="166" formatCode="0.000"/>
    <numFmt numFmtId="167" formatCode="_-* #,##0.0_-;\-* #,##0.0_-;_-* &quot;-&quot;??_-;_-@_-"/>
    <numFmt numFmtId="168" formatCode="_-* #,##0.000_-;\-* #,##0.000_-;_-* &quot;-&quot;??_-;_-@_-"/>
    <numFmt numFmtId="169" formatCode="0.0000"/>
    <numFmt numFmtId="170" formatCode="0.0%"/>
    <numFmt numFmtId="171" formatCode="0.00000%"/>
    <numFmt numFmtId="172" formatCode="0.000%"/>
    <numFmt numFmtId="173" formatCode="_-* #,##0.0_-;\-* #,##0.0_-;_-* &quot;-&quot;?_-;_-@_-"/>
    <numFmt numFmtId="174" formatCode="_-* #,##0.00000_-;\-* #,##0.00000_-;_-* &quot;-&quot;??_-;_-@_-"/>
    <numFmt numFmtId="175" formatCode="_-* #,##0.0_-;\-* #,##0.0_-;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0"/>
      <name val="Arial"/>
      <family val="2"/>
    </font>
    <font>
      <sz val="10"/>
      <color theme="1"/>
      <name val="Arial"/>
      <family val="2"/>
    </font>
    <font>
      <b/>
      <sz val="10"/>
      <color theme="1"/>
      <name val="Arial"/>
      <family val="2"/>
    </font>
    <font>
      <sz val="8"/>
      <name val="Calibri"/>
      <family val="2"/>
      <scheme val="minor"/>
    </font>
    <font>
      <b/>
      <i/>
      <sz val="11"/>
      <color theme="1"/>
      <name val="Calibri"/>
      <family val="2"/>
      <scheme val="minor"/>
    </font>
    <font>
      <i/>
      <sz val="11"/>
      <color theme="1"/>
      <name val="Calibri"/>
      <family val="2"/>
      <scheme val="minor"/>
    </font>
    <font>
      <b/>
      <i/>
      <sz val="12"/>
      <color theme="1"/>
      <name val="Calibri"/>
      <family val="2"/>
      <scheme val="minor"/>
    </font>
    <font>
      <b/>
      <i/>
      <sz val="10"/>
      <color theme="1"/>
      <name val="Arial"/>
      <family val="2"/>
    </font>
    <font>
      <sz val="9"/>
      <color indexed="81"/>
      <name val="Tahoma"/>
      <family val="2"/>
    </font>
    <font>
      <b/>
      <sz val="9"/>
      <color indexed="81"/>
      <name val="Tahoma"/>
      <family val="2"/>
    </font>
    <font>
      <sz val="11"/>
      <color rgb="FF000000"/>
      <name val="Calibri"/>
      <family val="2"/>
      <scheme val="minor"/>
    </font>
  </fonts>
  <fills count="10">
    <fill>
      <patternFill patternType="none"/>
    </fill>
    <fill>
      <patternFill patternType="gray125"/>
    </fill>
    <fill>
      <patternFill patternType="solid">
        <fgColor theme="8"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6" fillId="0" borderId="0"/>
    <xf numFmtId="43" fontId="16" fillId="0" borderId="0" applyFont="0" applyFill="0" applyBorder="0" applyAlignment="0" applyProtection="0"/>
  </cellStyleXfs>
  <cellXfs count="225">
    <xf numFmtId="0" fontId="0" fillId="0" borderId="0" xfId="0"/>
    <xf numFmtId="0" fontId="3" fillId="0" borderId="0" xfId="0" applyFont="1"/>
    <xf numFmtId="0" fontId="0" fillId="0" borderId="0" xfId="0" applyAlignment="1">
      <alignment wrapText="1"/>
    </xf>
    <xf numFmtId="0" fontId="2" fillId="0" borderId="0" xfId="0" applyFont="1"/>
    <xf numFmtId="0" fontId="0" fillId="0" borderId="1" xfId="0" applyBorder="1"/>
    <xf numFmtId="0" fontId="4" fillId="0" borderId="0" xfId="0" applyFont="1"/>
    <xf numFmtId="0" fontId="2" fillId="0" borderId="1" xfId="0" applyFont="1" applyBorder="1" applyAlignment="1">
      <alignment horizontal="center"/>
    </xf>
    <xf numFmtId="0" fontId="5" fillId="0" borderId="0" xfId="0" applyFont="1"/>
    <xf numFmtId="0" fontId="2" fillId="0" borderId="1" xfId="0" applyFont="1" applyBorder="1"/>
    <xf numFmtId="164" fontId="0" fillId="2" borderId="1" xfId="1" applyNumberFormat="1" applyFont="1" applyFill="1" applyBorder="1"/>
    <xf numFmtId="164" fontId="0" fillId="3" borderId="1" xfId="1" applyNumberFormat="1" applyFont="1" applyFill="1" applyBorder="1"/>
    <xf numFmtId="0" fontId="0" fillId="0" borderId="1" xfId="0" applyBorder="1" applyAlignment="1">
      <alignment horizontal="center"/>
    </xf>
    <xf numFmtId="0" fontId="6" fillId="0" borderId="0" xfId="0" applyFont="1"/>
    <xf numFmtId="165" fontId="0" fillId="0" borderId="1" xfId="0" applyNumberFormat="1" applyBorder="1"/>
    <xf numFmtId="164" fontId="7" fillId="4" borderId="1" xfId="1" applyNumberFormat="1" applyFont="1" applyFill="1" applyBorder="1"/>
    <xf numFmtId="0" fontId="0" fillId="4" borderId="1" xfId="0" applyFill="1" applyBorder="1"/>
    <xf numFmtId="164" fontId="7" fillId="0" borderId="1" xfId="1" applyNumberFormat="1" applyFont="1" applyBorder="1"/>
    <xf numFmtId="0" fontId="8" fillId="0" borderId="1" xfId="0" applyFont="1" applyBorder="1"/>
    <xf numFmtId="164" fontId="8" fillId="0" borderId="1" xfId="0" applyNumberFormat="1" applyFont="1" applyBorder="1"/>
    <xf numFmtId="0" fontId="2" fillId="0" borderId="1" xfId="0" applyFont="1" applyBorder="1" applyAlignment="1">
      <alignment horizontal="center" wrapText="1"/>
    </xf>
    <xf numFmtId="4" fontId="0" fillId="0" borderId="0" xfId="0" applyNumberFormat="1"/>
    <xf numFmtId="0" fontId="0" fillId="0" borderId="5" xfId="0" applyBorder="1"/>
    <xf numFmtId="0" fontId="0" fillId="0" borderId="6" xfId="0" applyBorder="1"/>
    <xf numFmtId="0" fontId="0" fillId="0" borderId="7" xfId="0" applyBorder="1"/>
    <xf numFmtId="0" fontId="0" fillId="0" borderId="9" xfId="0" applyBorder="1"/>
    <xf numFmtId="0" fontId="0" fillId="2" borderId="1" xfId="0" applyFill="1" applyBorder="1"/>
    <xf numFmtId="0" fontId="2" fillId="0" borderId="1" xfId="0" applyFont="1" applyBorder="1" applyAlignment="1">
      <alignment wrapText="1"/>
    </xf>
    <xf numFmtId="164" fontId="0" fillId="0" borderId="1" xfId="1" applyNumberFormat="1" applyFont="1" applyBorder="1"/>
    <xf numFmtId="164" fontId="0" fillId="5" borderId="1" xfId="1" applyNumberFormat="1" applyFont="1" applyFill="1" applyBorder="1"/>
    <xf numFmtId="0" fontId="0" fillId="0" borderId="1" xfId="0" applyBorder="1" applyAlignment="1">
      <alignment vertical="center" wrapText="1"/>
    </xf>
    <xf numFmtId="0" fontId="0" fillId="0" borderId="8" xfId="0" applyBorder="1"/>
    <xf numFmtId="0" fontId="2" fillId="0" borderId="8" xfId="0" applyFont="1" applyBorder="1"/>
    <xf numFmtId="0" fontId="0" fillId="0" borderId="1" xfId="0" applyBorder="1" applyAlignment="1">
      <alignment horizontal="right"/>
    </xf>
    <xf numFmtId="0" fontId="2" fillId="2" borderId="1" xfId="0" applyFont="1" applyFill="1" applyBorder="1"/>
    <xf numFmtId="0" fontId="2" fillId="0" borderId="0" xfId="0" applyFont="1" applyAlignment="1">
      <alignment horizontal="center" wrapText="1"/>
    </xf>
    <xf numFmtId="0" fontId="4" fillId="0" borderId="0" xfId="0" applyFont="1" applyAlignment="1">
      <alignment wrapText="1"/>
    </xf>
    <xf numFmtId="0" fontId="4" fillId="0" borderId="0" xfId="0" applyFont="1" applyAlignment="1">
      <alignment horizontal="left" wrapText="1"/>
    </xf>
    <xf numFmtId="164" fontId="5" fillId="0" borderId="0" xfId="0" applyNumberFormat="1" applyFont="1"/>
    <xf numFmtId="0" fontId="0" fillId="0" borderId="0" xfId="0" applyAlignment="1">
      <alignment vertical="center" wrapText="1"/>
    </xf>
    <xf numFmtId="0" fontId="0" fillId="0" borderId="0" xfId="0" applyAlignment="1">
      <alignment horizontal="left"/>
    </xf>
    <xf numFmtId="49" fontId="2" fillId="0" borderId="1" xfId="0" applyNumberFormat="1" applyFont="1" applyBorder="1" applyAlignment="1">
      <alignment horizontal="center"/>
    </xf>
    <xf numFmtId="49" fontId="2" fillId="0" borderId="1" xfId="0" applyNumberFormat="1" applyFont="1" applyBorder="1" applyAlignment="1">
      <alignment horizontal="center" wrapText="1"/>
    </xf>
    <xf numFmtId="49" fontId="0" fillId="0" borderId="0" xfId="0" applyNumberFormat="1"/>
    <xf numFmtId="167" fontId="0" fillId="2" borderId="1" xfId="0" applyNumberFormat="1" applyFill="1" applyBorder="1"/>
    <xf numFmtId="168" fontId="0" fillId="2" borderId="1" xfId="0" applyNumberFormat="1" applyFill="1" applyBorder="1"/>
    <xf numFmtId="0" fontId="4" fillId="0" borderId="6" xfId="0" applyFont="1" applyBorder="1" applyAlignment="1">
      <alignment horizontal="left" wrapText="1"/>
    </xf>
    <xf numFmtId="166" fontId="0" fillId="2" borderId="1" xfId="0" applyNumberFormat="1" applyFill="1" applyBorder="1"/>
    <xf numFmtId="0" fontId="0" fillId="0" borderId="1" xfId="0" applyBorder="1" applyAlignment="1">
      <alignment horizontal="left"/>
    </xf>
    <xf numFmtId="0" fontId="2" fillId="0" borderId="1" xfId="0" applyFont="1" applyBorder="1" applyAlignment="1">
      <alignment horizontal="left" wrapText="1"/>
    </xf>
    <xf numFmtId="0" fontId="2" fillId="4" borderId="1" xfId="0" applyFont="1" applyFill="1" applyBorder="1" applyAlignment="1">
      <alignment horizontal="left" wrapText="1"/>
    </xf>
    <xf numFmtId="164" fontId="0" fillId="7" borderId="1" xfId="1" applyNumberFormat="1" applyFont="1" applyFill="1" applyBorder="1"/>
    <xf numFmtId="0" fontId="5" fillId="0" borderId="1" xfId="0" applyFont="1" applyBorder="1"/>
    <xf numFmtId="164" fontId="1" fillId="6" borderId="1" xfId="1" applyNumberFormat="1" applyFont="1" applyFill="1" applyBorder="1"/>
    <xf numFmtId="0" fontId="2" fillId="0" borderId="1" xfId="0" applyFont="1" applyBorder="1" applyAlignment="1">
      <alignment horizontal="left"/>
    </xf>
    <xf numFmtId="0" fontId="0" fillId="0" borderId="1" xfId="0" applyBorder="1" applyAlignment="1">
      <alignment horizontal="left" wrapText="1"/>
    </xf>
    <xf numFmtId="0" fontId="2" fillId="0" borderId="0" xfId="0" applyFont="1" applyAlignment="1">
      <alignment horizontal="center"/>
    </xf>
    <xf numFmtId="164" fontId="0" fillId="0" borderId="0" xfId="1" applyNumberFormat="1" applyFont="1" applyFill="1" applyBorder="1"/>
    <xf numFmtId="167" fontId="0" fillId="2" borderId="1" xfId="1" applyNumberFormat="1" applyFont="1" applyFill="1" applyBorder="1"/>
    <xf numFmtId="0" fontId="10" fillId="0" borderId="1" xfId="0" applyFont="1" applyBorder="1"/>
    <xf numFmtId="164" fontId="10" fillId="2" borderId="1" xfId="0" applyNumberFormat="1" applyFont="1" applyFill="1" applyBorder="1"/>
    <xf numFmtId="164" fontId="8" fillId="2" borderId="1" xfId="1" applyNumberFormat="1" applyFont="1" applyFill="1" applyBorder="1"/>
    <xf numFmtId="0" fontId="7" fillId="0" borderId="0" xfId="0" applyFont="1"/>
    <xf numFmtId="164" fontId="8" fillId="0" borderId="0" xfId="0" applyNumberFormat="1" applyFont="1"/>
    <xf numFmtId="164" fontId="8" fillId="0" borderId="0" xfId="1" applyNumberFormat="1" applyFont="1" applyFill="1" applyBorder="1"/>
    <xf numFmtId="17" fontId="8" fillId="0" borderId="1" xfId="1" applyNumberFormat="1" applyFont="1" applyFill="1" applyBorder="1" applyAlignment="1">
      <alignment horizontal="center"/>
    </xf>
    <xf numFmtId="0" fontId="2" fillId="0" borderId="0" xfId="0" applyFont="1" applyAlignment="1">
      <alignment horizontal="left" wrapText="1"/>
    </xf>
    <xf numFmtId="164" fontId="0" fillId="8" borderId="1" xfId="1" applyNumberFormat="1" applyFont="1" applyFill="1" applyBorder="1"/>
    <xf numFmtId="2" fontId="0" fillId="0" borderId="1" xfId="0" applyNumberFormat="1" applyBorder="1"/>
    <xf numFmtId="164" fontId="0" fillId="4" borderId="1" xfId="1" applyNumberFormat="1" applyFont="1" applyFill="1" applyBorder="1"/>
    <xf numFmtId="0" fontId="0" fillId="3" borderId="1" xfId="0" applyFill="1" applyBorder="1"/>
    <xf numFmtId="0" fontId="5" fillId="0" borderId="0" xfId="0" applyFont="1" applyAlignment="1">
      <alignment horizontal="left" wrapText="1"/>
    </xf>
    <xf numFmtId="0" fontId="0" fillId="3" borderId="1" xfId="0" applyFill="1" applyBorder="1" applyAlignment="1">
      <alignment horizontal="center" vertical="center" wrapText="1"/>
    </xf>
    <xf numFmtId="0" fontId="2" fillId="0" borderId="0" xfId="0" applyFont="1" applyAlignment="1">
      <alignment horizontal="left"/>
    </xf>
    <xf numFmtId="0" fontId="2" fillId="0" borderId="0" xfId="0" applyFont="1" applyAlignment="1">
      <alignment horizontal="right" wrapText="1"/>
    </xf>
    <xf numFmtId="0" fontId="5" fillId="0" borderId="0" xfId="0" applyFont="1" applyAlignment="1">
      <alignment wrapText="1"/>
    </xf>
    <xf numFmtId="167" fontId="0" fillId="0" borderId="0" xfId="0" applyNumberFormat="1"/>
    <xf numFmtId="168" fontId="0" fillId="0" borderId="0" xfId="0" applyNumberFormat="1"/>
    <xf numFmtId="165" fontId="0" fillId="2" borderId="1" xfId="0" applyNumberFormat="1" applyFill="1" applyBorder="1"/>
    <xf numFmtId="165" fontId="0" fillId="3" borderId="1" xfId="0" applyNumberFormat="1" applyFill="1" applyBorder="1"/>
    <xf numFmtId="43" fontId="2" fillId="2" borderId="1" xfId="1" applyFont="1" applyFill="1" applyBorder="1" applyAlignment="1">
      <alignment horizontal="right" wrapText="1"/>
    </xf>
    <xf numFmtId="164" fontId="2" fillId="2" borderId="1" xfId="1" applyNumberFormat="1" applyFont="1" applyFill="1" applyBorder="1" applyAlignment="1">
      <alignment horizontal="right" wrapText="1"/>
    </xf>
    <xf numFmtId="164" fontId="0" fillId="2" borderId="9" xfId="1" applyNumberFormat="1" applyFont="1" applyFill="1" applyBorder="1"/>
    <xf numFmtId="0" fontId="0" fillId="0" borderId="1" xfId="0" applyBorder="1" applyAlignment="1">
      <alignment wrapText="1"/>
    </xf>
    <xf numFmtId="0" fontId="0" fillId="3" borderId="1" xfId="0" applyFill="1" applyBorder="1" applyAlignment="1">
      <alignment wrapText="1"/>
    </xf>
    <xf numFmtId="164" fontId="5" fillId="2" borderId="1" xfId="0" applyNumberFormat="1" applyFont="1" applyFill="1" applyBorder="1"/>
    <xf numFmtId="0" fontId="2" fillId="0" borderId="1" xfId="0" applyFont="1" applyBorder="1" applyAlignment="1">
      <alignment vertical="center" wrapText="1"/>
    </xf>
    <xf numFmtId="0" fontId="2" fillId="0" borderId="1" xfId="0" applyFont="1" applyBorder="1" applyAlignment="1">
      <alignment horizontal="center" vertical="center" wrapText="1"/>
    </xf>
    <xf numFmtId="169" fontId="0" fillId="0" borderId="1" xfId="0" applyNumberFormat="1" applyBorder="1" applyAlignment="1">
      <alignment vertical="center" wrapText="1"/>
    </xf>
    <xf numFmtId="166" fontId="0" fillId="0" borderId="1" xfId="0" applyNumberFormat="1" applyBorder="1"/>
    <xf numFmtId="1" fontId="0" fillId="0" borderId="0" xfId="1" applyNumberFormat="1" applyFont="1" applyFill="1" applyBorder="1"/>
    <xf numFmtId="2" fontId="0" fillId="0" borderId="0" xfId="0" applyNumberFormat="1"/>
    <xf numFmtId="166" fontId="0" fillId="0" borderId="0" xfId="0" applyNumberFormat="1"/>
    <xf numFmtId="168" fontId="0" fillId="2" borderId="1" xfId="1" applyNumberFormat="1" applyFont="1" applyFill="1" applyBorder="1"/>
    <xf numFmtId="43" fontId="0" fillId="0" borderId="1" xfId="1" applyFont="1" applyBorder="1"/>
    <xf numFmtId="0" fontId="0" fillId="4" borderId="1" xfId="0" applyFill="1" applyBorder="1" applyAlignment="1">
      <alignment horizontal="right"/>
    </xf>
    <xf numFmtId="9" fontId="0" fillId="0" borderId="1" xfId="2" applyFont="1" applyBorder="1"/>
    <xf numFmtId="170" fontId="0" fillId="0" borderId="1" xfId="2" applyNumberFormat="1" applyFont="1" applyBorder="1"/>
    <xf numFmtId="0" fontId="10" fillId="0" borderId="0" xfId="0" applyFont="1"/>
    <xf numFmtId="0" fontId="11" fillId="0" borderId="1" xfId="0" applyFont="1" applyBorder="1"/>
    <xf numFmtId="170" fontId="0" fillId="0" borderId="1" xfId="0" applyNumberFormat="1" applyBorder="1"/>
    <xf numFmtId="170" fontId="0" fillId="0" borderId="0" xfId="0" applyNumberFormat="1"/>
    <xf numFmtId="170" fontId="0" fillId="0" borderId="0" xfId="2" applyNumberFormat="1" applyFont="1"/>
    <xf numFmtId="0" fontId="0" fillId="0" borderId="1" xfId="0" applyBorder="1" applyAlignment="1">
      <alignment horizontal="center" wrapText="1"/>
    </xf>
    <xf numFmtId="169" fontId="0" fillId="0" borderId="1" xfId="0" applyNumberFormat="1" applyBorder="1"/>
    <xf numFmtId="0" fontId="0" fillId="0" borderId="0" xfId="0" applyAlignment="1">
      <alignment horizontal="left" wrapText="1"/>
    </xf>
    <xf numFmtId="9" fontId="0" fillId="0" borderId="1" xfId="0" applyNumberFormat="1" applyBorder="1"/>
    <xf numFmtId="166" fontId="2" fillId="0" borderId="1" xfId="0" applyNumberFormat="1" applyFont="1" applyBorder="1"/>
    <xf numFmtId="171" fontId="0" fillId="0" borderId="0" xfId="0" applyNumberFormat="1"/>
    <xf numFmtId="172" fontId="0" fillId="0" borderId="0" xfId="0" applyNumberFormat="1"/>
    <xf numFmtId="3" fontId="0" fillId="4" borderId="1" xfId="0" applyNumberFormat="1" applyFill="1" applyBorder="1"/>
    <xf numFmtId="164" fontId="0" fillId="2" borderId="1" xfId="0" applyNumberFormat="1" applyFill="1" applyBorder="1"/>
    <xf numFmtId="167" fontId="0" fillId="4" borderId="1" xfId="1" applyNumberFormat="1" applyFont="1" applyFill="1" applyBorder="1"/>
    <xf numFmtId="164" fontId="0" fillId="2" borderId="0" xfId="0" applyNumberFormat="1" applyFill="1"/>
    <xf numFmtId="0" fontId="0" fillId="0" borderId="1" xfId="0" applyBorder="1" applyAlignment="1">
      <alignment vertical="top"/>
    </xf>
    <xf numFmtId="1" fontId="0" fillId="2" borderId="1" xfId="0" applyNumberFormat="1" applyFill="1" applyBorder="1"/>
    <xf numFmtId="0" fontId="2" fillId="2" borderId="1" xfId="0" applyFont="1" applyFill="1" applyBorder="1" applyAlignment="1">
      <alignment horizontal="center"/>
    </xf>
    <xf numFmtId="17" fontId="2" fillId="0" borderId="0" xfId="0" applyNumberFormat="1" applyFont="1" applyAlignment="1">
      <alignment horizontal="center"/>
    </xf>
    <xf numFmtId="0" fontId="2" fillId="0" borderId="9" xfId="0" applyFont="1" applyBorder="1" applyAlignment="1">
      <alignment horizontal="center" wrapText="1"/>
    </xf>
    <xf numFmtId="164" fontId="7" fillId="0" borderId="1" xfId="0" applyNumberFormat="1" applyFont="1" applyBorder="1"/>
    <xf numFmtId="167" fontId="2" fillId="2" borderId="1" xfId="0" applyNumberFormat="1" applyFont="1" applyFill="1" applyBorder="1"/>
    <xf numFmtId="164" fontId="0" fillId="0" borderId="1" xfId="1" applyNumberFormat="1" applyFont="1" applyFill="1" applyBorder="1"/>
    <xf numFmtId="43" fontId="0" fillId="0" borderId="0" xfId="1" applyFont="1"/>
    <xf numFmtId="43" fontId="0" fillId="0" borderId="0" xfId="0" applyNumberFormat="1"/>
    <xf numFmtId="0" fontId="0" fillId="0" borderId="0" xfId="0" applyAlignment="1">
      <alignment horizontal="center"/>
    </xf>
    <xf numFmtId="165" fontId="0" fillId="0" borderId="0" xfId="0" applyNumberFormat="1"/>
    <xf numFmtId="0" fontId="10" fillId="0" borderId="1" xfId="0" applyFont="1" applyBorder="1" applyAlignment="1">
      <alignment horizontal="left"/>
    </xf>
    <xf numFmtId="165" fontId="10" fillId="2" borderId="1" xfId="0" applyNumberFormat="1" applyFont="1" applyFill="1" applyBorder="1"/>
    <xf numFmtId="165" fontId="10" fillId="0" borderId="1" xfId="0" applyNumberFormat="1" applyFont="1" applyBorder="1"/>
    <xf numFmtId="166" fontId="10" fillId="0" borderId="1" xfId="0" applyNumberFormat="1" applyFont="1" applyBorder="1"/>
    <xf numFmtId="164" fontId="10" fillId="2" borderId="1" xfId="1" applyNumberFormat="1" applyFont="1" applyFill="1" applyBorder="1"/>
    <xf numFmtId="164" fontId="0" fillId="0" borderId="0" xfId="0" applyNumberFormat="1"/>
    <xf numFmtId="166" fontId="2" fillId="0" borderId="9" xfId="0" applyNumberFormat="1" applyFont="1" applyBorder="1"/>
    <xf numFmtId="170" fontId="0" fillId="0" borderId="0" xfId="1" applyNumberFormat="1" applyFont="1"/>
    <xf numFmtId="0" fontId="12" fillId="0" borderId="1" xfId="0" applyFont="1" applyBorder="1"/>
    <xf numFmtId="43" fontId="12" fillId="2" borderId="1" xfId="0" applyNumberFormat="1" applyFont="1" applyFill="1" applyBorder="1"/>
    <xf numFmtId="168" fontId="12" fillId="2" borderId="1" xfId="0" applyNumberFormat="1" applyFont="1" applyFill="1" applyBorder="1"/>
    <xf numFmtId="173" fontId="10" fillId="2" borderId="1" xfId="0" applyNumberFormat="1" applyFont="1" applyFill="1" applyBorder="1"/>
    <xf numFmtId="164" fontId="13" fillId="0" borderId="1" xfId="0" applyNumberFormat="1" applyFont="1" applyBorder="1"/>
    <xf numFmtId="164" fontId="13" fillId="5" borderId="1" xfId="1" applyNumberFormat="1" applyFont="1" applyFill="1" applyBorder="1"/>
    <xf numFmtId="0" fontId="13" fillId="0" borderId="1" xfId="0" applyFont="1" applyBorder="1"/>
    <xf numFmtId="164" fontId="10" fillId="8" borderId="1" xfId="1" applyNumberFormat="1" applyFont="1" applyFill="1" applyBorder="1"/>
    <xf numFmtId="174" fontId="0" fillId="0" borderId="0" xfId="0" applyNumberFormat="1"/>
    <xf numFmtId="2" fontId="10" fillId="2" borderId="1" xfId="0" applyNumberFormat="1" applyFont="1" applyFill="1" applyBorder="1"/>
    <xf numFmtId="0" fontId="0" fillId="0" borderId="0" xfId="0" applyAlignment="1">
      <alignment horizontal="right"/>
    </xf>
    <xf numFmtId="167" fontId="5" fillId="2" borderId="1" xfId="0" applyNumberFormat="1" applyFont="1" applyFill="1" applyBorder="1"/>
    <xf numFmtId="0" fontId="5" fillId="0" borderId="1" xfId="0" applyFont="1" applyBorder="1" applyAlignment="1">
      <alignment horizontal="center"/>
    </xf>
    <xf numFmtId="0" fontId="10" fillId="0" borderId="1" xfId="0" applyFont="1" applyBorder="1" applyAlignment="1">
      <alignment horizontal="center"/>
    </xf>
    <xf numFmtId="0" fontId="10" fillId="0" borderId="9" xfId="0" applyFont="1" applyBorder="1"/>
    <xf numFmtId="168" fontId="2" fillId="2" borderId="1" xfId="0" applyNumberFormat="1" applyFont="1" applyFill="1" applyBorder="1"/>
    <xf numFmtId="167" fontId="10" fillId="2" borderId="1" xfId="0" applyNumberFormat="1" applyFont="1" applyFill="1" applyBorder="1" applyAlignment="1">
      <alignment wrapText="1"/>
    </xf>
    <xf numFmtId="2" fontId="10" fillId="2" borderId="1" xfId="0" applyNumberFormat="1" applyFont="1" applyFill="1" applyBorder="1" applyAlignment="1">
      <alignment wrapText="1"/>
    </xf>
    <xf numFmtId="164" fontId="12" fillId="2" borderId="1" xfId="0" applyNumberFormat="1" applyFont="1" applyFill="1" applyBorder="1" applyAlignment="1">
      <alignment wrapText="1"/>
    </xf>
    <xf numFmtId="3" fontId="10" fillId="2" borderId="9" xfId="1" applyNumberFormat="1" applyFont="1" applyFill="1" applyBorder="1"/>
    <xf numFmtId="3" fontId="10" fillId="2" borderId="1" xfId="1" applyNumberFormat="1" applyFont="1" applyFill="1" applyBorder="1"/>
    <xf numFmtId="0" fontId="11" fillId="0" borderId="1" xfId="0" applyFont="1" applyBorder="1" applyAlignment="1">
      <alignment vertical="top" wrapText="1"/>
    </xf>
    <xf numFmtId="0" fontId="11" fillId="0" borderId="1" xfId="0" applyFont="1" applyBorder="1" applyAlignment="1">
      <alignment horizontal="center" vertical="top" wrapText="1"/>
    </xf>
    <xf numFmtId="0" fontId="11" fillId="0" borderId="0" xfId="0" applyFont="1"/>
    <xf numFmtId="0" fontId="0" fillId="0" borderId="0" xfId="0" applyAlignment="1">
      <alignment vertical="top"/>
    </xf>
    <xf numFmtId="164" fontId="2" fillId="0" borderId="0" xfId="0" applyNumberFormat="1" applyFont="1"/>
    <xf numFmtId="41" fontId="10" fillId="2" borderId="1" xfId="1" applyNumberFormat="1" applyFont="1" applyFill="1" applyBorder="1"/>
    <xf numFmtId="41" fontId="0" fillId="2" borderId="1" xfId="1" applyNumberFormat="1" applyFont="1" applyFill="1" applyBorder="1"/>
    <xf numFmtId="175" fontId="10" fillId="2" borderId="1" xfId="1" applyNumberFormat="1" applyFont="1" applyFill="1" applyBorder="1"/>
    <xf numFmtId="175" fontId="0" fillId="2" borderId="1" xfId="1" applyNumberFormat="1" applyFont="1" applyFill="1" applyBorder="1"/>
    <xf numFmtId="43" fontId="0" fillId="5" borderId="1" xfId="1" applyFont="1" applyFill="1" applyBorder="1"/>
    <xf numFmtId="0" fontId="2" fillId="0" borderId="9" xfId="0" applyFont="1" applyBorder="1"/>
    <xf numFmtId="0" fontId="0" fillId="0" borderId="12" xfId="0" applyBorder="1"/>
    <xf numFmtId="164" fontId="0" fillId="0" borderId="7" xfId="1" applyNumberFormat="1" applyFont="1" applyFill="1" applyBorder="1"/>
    <xf numFmtId="9" fontId="0" fillId="0" borderId="0" xfId="2" applyFont="1" applyBorder="1"/>
    <xf numFmtId="0" fontId="0" fillId="9" borderId="1" xfId="0" applyFill="1" applyBorder="1"/>
    <xf numFmtId="167" fontId="5" fillId="0" borderId="0" xfId="0" applyNumberFormat="1" applyFont="1"/>
    <xf numFmtId="167" fontId="2" fillId="0" borderId="1" xfId="0" applyNumberFormat="1" applyFont="1" applyBorder="1" applyAlignment="1">
      <alignment horizontal="center"/>
    </xf>
    <xf numFmtId="0" fontId="0" fillId="0" borderId="4" xfId="0" applyBorder="1"/>
    <xf numFmtId="0" fontId="2" fillId="0" borderId="4" xfId="0" applyFont="1" applyBorder="1" applyAlignment="1">
      <alignment horizontal="center"/>
    </xf>
    <xf numFmtId="0" fontId="0" fillId="0" borderId="11" xfId="0" applyBorder="1"/>
    <xf numFmtId="0" fontId="11" fillId="0" borderId="1" xfId="0" applyFont="1" applyBorder="1" applyAlignment="1">
      <alignment horizontal="left"/>
    </xf>
    <xf numFmtId="164" fontId="11" fillId="2" borderId="4" xfId="1" applyNumberFormat="1" applyFont="1" applyFill="1" applyBorder="1" applyAlignment="1">
      <alignment horizontal="center"/>
    </xf>
    <xf numFmtId="0" fontId="2" fillId="0" borderId="3" xfId="0" applyFont="1" applyBorder="1" applyAlignment="1">
      <alignment horizontal="left"/>
    </xf>
    <xf numFmtId="0" fontId="0" fillId="4" borderId="4" xfId="0" applyFill="1" applyBorder="1" applyAlignment="1">
      <alignment horizontal="left"/>
    </xf>
    <xf numFmtId="0" fontId="0" fillId="9" borderId="3" xfId="0" applyFill="1" applyBorder="1" applyAlignment="1">
      <alignment horizontal="left"/>
    </xf>
    <xf numFmtId="0" fontId="0" fillId="9" borderId="4" xfId="0" applyFill="1" applyBorder="1" applyAlignment="1">
      <alignment horizontal="left"/>
    </xf>
    <xf numFmtId="0" fontId="0" fillId="9" borderId="1" xfId="0" applyFill="1" applyBorder="1" applyAlignment="1">
      <alignment horizontal="right"/>
    </xf>
    <xf numFmtId="167" fontId="5" fillId="0" borderId="1" xfId="0" applyNumberFormat="1" applyFont="1" applyBorder="1"/>
    <xf numFmtId="165" fontId="10" fillId="2" borderId="1" xfId="1" applyNumberFormat="1" applyFont="1" applyFill="1" applyBorder="1"/>
    <xf numFmtId="167" fontId="11" fillId="2" borderId="4" xfId="1" applyNumberFormat="1" applyFont="1" applyFill="1" applyBorder="1" applyAlignment="1">
      <alignment horizontal="center"/>
    </xf>
    <xf numFmtId="0" fontId="0" fillId="0" borderId="0" xfId="0" applyProtection="1">
      <protection locked="0"/>
    </xf>
    <xf numFmtId="0" fontId="0" fillId="4" borderId="3" xfId="0" applyFill="1" applyBorder="1" applyAlignment="1" applyProtection="1">
      <alignment horizontal="left"/>
      <protection locked="0"/>
    </xf>
    <xf numFmtId="0" fontId="0" fillId="4" borderId="1" xfId="0" applyFill="1" applyBorder="1" applyAlignment="1" applyProtection="1">
      <alignment horizontal="right"/>
      <protection locked="0"/>
    </xf>
    <xf numFmtId="164" fontId="0" fillId="4" borderId="1" xfId="1" applyNumberFormat="1" applyFont="1" applyFill="1" applyBorder="1" applyProtection="1">
      <protection locked="0"/>
    </xf>
    <xf numFmtId="0" fontId="2" fillId="0" borderId="1" xfId="0" applyFont="1" applyBorder="1" applyAlignment="1" applyProtection="1">
      <alignment horizontal="center"/>
      <protection locked="0"/>
    </xf>
    <xf numFmtId="0" fontId="0" fillId="4" borderId="1" xfId="0" applyFill="1" applyBorder="1" applyProtection="1">
      <protection locked="0"/>
    </xf>
    <xf numFmtId="0" fontId="0" fillId="0" borderId="0" xfId="0" applyAlignment="1">
      <alignment wrapText="1"/>
    </xf>
    <xf numFmtId="0" fontId="2" fillId="0" borderId="1" xfId="0" applyFont="1" applyBorder="1"/>
    <xf numFmtId="0" fontId="0" fillId="0" borderId="3" xfId="0" applyBorder="1"/>
    <xf numFmtId="0" fontId="0" fillId="0" borderId="5" xfId="0" applyBorder="1"/>
    <xf numFmtId="0" fontId="0" fillId="0" borderId="4" xfId="0" applyBorder="1"/>
    <xf numFmtId="0" fontId="0" fillId="0" borderId="1" xfId="0" applyBorder="1"/>
    <xf numFmtId="0" fontId="0" fillId="0" borderId="1" xfId="0" applyBorder="1" applyAlignment="1">
      <alignment wrapText="1"/>
    </xf>
    <xf numFmtId="0" fontId="0" fillId="0" borderId="0" xfId="0" applyAlignment="1">
      <alignment horizontal="left" wrapText="1"/>
    </xf>
    <xf numFmtId="0" fontId="4" fillId="0" borderId="0" xfId="0" applyFont="1" applyAlignment="1">
      <alignment vertical="top"/>
    </xf>
    <xf numFmtId="0" fontId="2" fillId="0" borderId="0" xfId="0" applyFont="1" applyAlignment="1">
      <alignment wrapText="1"/>
    </xf>
    <xf numFmtId="0" fontId="0" fillId="0" borderId="0" xfId="0" applyAlignment="1">
      <alignment vertical="top" wrapText="1"/>
    </xf>
    <xf numFmtId="0" fontId="4" fillId="0" borderId="0" xfId="0" applyFont="1" applyAlignment="1">
      <alignment vertical="top" wrapText="1"/>
    </xf>
    <xf numFmtId="0" fontId="4" fillId="0" borderId="2" xfId="0" applyFont="1" applyBorder="1" applyAlignment="1">
      <alignment horizontal="left" wrapText="1"/>
    </xf>
    <xf numFmtId="0" fontId="4" fillId="0" borderId="0" xfId="0" applyFont="1" applyAlignment="1">
      <alignment horizontal="left" wrapText="1"/>
    </xf>
    <xf numFmtId="0" fontId="0" fillId="0" borderId="2" xfId="0" applyBorder="1" applyAlignment="1">
      <alignment horizontal="left" wrapText="1"/>
    </xf>
    <xf numFmtId="0" fontId="0" fillId="0" borderId="2" xfId="0" applyBorder="1" applyAlignment="1">
      <alignment wrapText="1"/>
    </xf>
    <xf numFmtId="0" fontId="0" fillId="0" borderId="6" xfId="0" applyBorder="1"/>
    <xf numFmtId="0" fontId="2" fillId="0" borderId="1" xfId="0" applyFont="1" applyBorder="1" applyAlignment="1">
      <alignment horizontal="center" wrapText="1"/>
    </xf>
    <xf numFmtId="0" fontId="4" fillId="0" borderId="0" xfId="0" applyFont="1" applyAlignment="1">
      <alignment wrapText="1"/>
    </xf>
    <xf numFmtId="0" fontId="2" fillId="0" borderId="6" xfId="0" applyFont="1" applyBorder="1" applyAlignment="1">
      <alignment horizontal="center"/>
    </xf>
    <xf numFmtId="164" fontId="0" fillId="9" borderId="3" xfId="1" applyNumberFormat="1" applyFont="1" applyFill="1" applyBorder="1"/>
    <xf numFmtId="164" fontId="0" fillId="9" borderId="4" xfId="1" applyNumberFormat="1" applyFont="1" applyFill="1" applyBorder="1"/>
    <xf numFmtId="0" fontId="0" fillId="0" borderId="7" xfId="0" applyBorder="1" applyAlignment="1">
      <alignment vertical="center" wrapText="1"/>
    </xf>
    <xf numFmtId="0" fontId="2" fillId="0" borderId="3"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0" fillId="0" borderId="10" xfId="0" applyBorder="1" applyAlignment="1">
      <alignment wrapText="1"/>
    </xf>
    <xf numFmtId="0" fontId="0" fillId="0" borderId="6" xfId="0" applyBorder="1" applyAlignment="1">
      <alignment wrapText="1"/>
    </xf>
    <xf numFmtId="0" fontId="5" fillId="0" borderId="0" xfId="0" applyFont="1" applyAlignment="1">
      <alignment vertical="center" wrapText="1"/>
    </xf>
    <xf numFmtId="0" fontId="2" fillId="0" borderId="9" xfId="0" applyFont="1" applyBorder="1"/>
    <xf numFmtId="0" fontId="2" fillId="0" borderId="6" xfId="0" applyFont="1" applyBorder="1" applyAlignment="1">
      <alignment wrapText="1"/>
    </xf>
    <xf numFmtId="0" fontId="2" fillId="0" borderId="1" xfId="0" applyFont="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1" xfId="0" applyBorder="1" applyAlignment="1">
      <alignment horizontal="left"/>
    </xf>
  </cellXfs>
  <cellStyles count="5">
    <cellStyle name="Comma" xfId="1" builtinId="3"/>
    <cellStyle name="Comma 2" xfId="4" xr:uid="{BF6F38EF-FC73-4446-8883-BF352F47342A}"/>
    <cellStyle name="Normal" xfId="0" builtinId="0"/>
    <cellStyle name="Normal 2" xfId="3" xr:uid="{3B4588A8-AA2B-452A-B29E-EA75552DF4BE}"/>
    <cellStyle name="Percent" xfId="2" builtinId="5"/>
  </cellStyles>
  <dxfs count="4">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Scott Morgan" id="{9C3B8F0D-D729-44A6-9D05-1F983440F418}" userId="S::morgans@suggee.com.au::a630c586-7dfd-4b8f-9193-b1c3056deac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60A531-E61E-4102-A970-213D236B0E26}" name="Table1" displayName="Table1" ref="H93:H99" totalsRowShown="0" headerRowBorderDxfId="3" tableBorderDxfId="2" totalsRowBorderDxfId="1">
  <autoFilter ref="H93:H99" xr:uid="{D060A531-E61E-4102-A970-213D236B0E26}"/>
  <tableColumns count="1">
    <tableColumn id="1" xr3:uid="{D0C764DB-94B8-4488-A8C9-A3DC4C9EBA02}" name="Column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0" dT="2023-04-24T06:18:29.35" personId="{9C3B8F0D-D729-44A6-9D05-1F983440F418}" id="{C9394CAF-BC5A-4537-9D92-1CD7AF3E4A21}">
    <text>If not known leave blank, amount will be calculated from Total capacity of systems</text>
  </threadedComment>
</ThreadedComments>
</file>

<file path=xl/threadedComments/threadedComment2.xml><?xml version="1.0" encoding="utf-8"?>
<ThreadedComments xmlns="http://schemas.microsoft.com/office/spreadsheetml/2018/threadedcomments" xmlns:x="http://schemas.openxmlformats.org/spreadsheetml/2006/main">
  <threadedComment ref="B27" dT="2022-07-07T00:48:49.53" personId="{9C3B8F0D-D729-44A6-9D05-1F983440F418}" id="{76F51BBE-CD78-4209-8EA6-9697718828D0}">
    <text>This is for council fleet vehicles charging at non-council charging stations ie not behind a council meter</text>
  </threadedComment>
</ThreadedComments>
</file>

<file path=xl/threadedComments/threadedComment3.xml><?xml version="1.0" encoding="utf-8"?>
<ThreadedComments xmlns="http://schemas.microsoft.com/office/spreadsheetml/2018/threadedcomments" xmlns:x="http://schemas.openxmlformats.org/spreadsheetml/2006/main">
  <threadedComment ref="A34" dT="2023-04-24T06:16:38.29" personId="{9C3B8F0D-D729-44A6-9D05-1F983440F418}" id="{A43B4B2A-CE36-4233-A133-77AD5CA3DBB2}">
    <text>Based on average across 13 systems at City of Hobart over three years</text>
  </threadedComment>
  <threadedComment ref="A86" dT="2023-02-09T03:24:05.36" personId="{9C3B8F0D-D729-44A6-9D05-1F983440F418}" id="{8977410A-E27E-4358-88AC-3CDFD5BAB193}">
    <text xml:space="preserve">Combination of post-2004 vehicles and Euro iv trucks values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3.vml"/><Relationship Id="rId1" Type="http://schemas.openxmlformats.org/officeDocument/2006/relationships/printerSettings" Target="../printerSettings/printerSettings9.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E6ADC-48FD-4268-875C-DB4B3A8C55B9}">
  <dimension ref="A1:O252"/>
  <sheetViews>
    <sheetView workbookViewId="0">
      <selection activeCell="A7" sqref="A7:O7"/>
    </sheetView>
  </sheetViews>
  <sheetFormatPr defaultRowHeight="15" x14ac:dyDescent="0.25"/>
  <cols>
    <col min="1" max="1" width="35" customWidth="1"/>
  </cols>
  <sheetData>
    <row r="1" spans="1:15" ht="18.75" x14ac:dyDescent="0.3">
      <c r="A1" s="1" t="s">
        <v>654</v>
      </c>
    </row>
    <row r="3" spans="1:15" x14ac:dyDescent="0.25">
      <c r="A3" t="s">
        <v>0</v>
      </c>
    </row>
    <row r="5" spans="1:15" ht="31.5" customHeight="1" x14ac:dyDescent="0.25">
      <c r="A5" s="190" t="s">
        <v>652</v>
      </c>
      <c r="B5" s="190"/>
      <c r="C5" s="190"/>
      <c r="D5" s="190"/>
      <c r="E5" s="190"/>
      <c r="F5" s="190"/>
      <c r="G5" s="190"/>
      <c r="H5" s="190"/>
      <c r="I5" s="190"/>
      <c r="J5" s="190"/>
      <c r="K5" s="190"/>
      <c r="L5" s="190"/>
      <c r="M5" s="190"/>
      <c r="N5" s="190"/>
      <c r="O5" s="190"/>
    </row>
    <row r="7" spans="1:15" ht="42.75" customHeight="1" x14ac:dyDescent="0.25">
      <c r="A7" s="190" t="s">
        <v>653</v>
      </c>
      <c r="B7" s="190"/>
      <c r="C7" s="190"/>
      <c r="D7" s="190"/>
      <c r="E7" s="190"/>
      <c r="F7" s="190"/>
      <c r="G7" s="190"/>
      <c r="H7" s="190"/>
      <c r="I7" s="190"/>
      <c r="J7" s="190"/>
      <c r="K7" s="190"/>
      <c r="L7" s="190"/>
      <c r="M7" s="190"/>
      <c r="N7" s="190"/>
      <c r="O7" s="190"/>
    </row>
    <row r="9" spans="1:15" x14ac:dyDescent="0.25">
      <c r="A9" t="s">
        <v>1</v>
      </c>
    </row>
    <row r="10" spans="1:15" x14ac:dyDescent="0.25">
      <c r="A10" s="8" t="s">
        <v>486</v>
      </c>
      <c r="B10" s="191" t="s">
        <v>485</v>
      </c>
      <c r="C10" s="191"/>
      <c r="D10" s="191"/>
      <c r="E10" s="191"/>
      <c r="F10" s="191"/>
      <c r="G10" s="191"/>
      <c r="H10" s="191"/>
      <c r="I10" s="191"/>
      <c r="J10" s="191"/>
      <c r="K10" s="191"/>
      <c r="L10" s="191"/>
      <c r="M10" s="191"/>
      <c r="N10" s="191"/>
    </row>
    <row r="11" spans="1:15" x14ac:dyDescent="0.25">
      <c r="A11" s="4" t="s">
        <v>432</v>
      </c>
      <c r="B11" s="195" t="s">
        <v>433</v>
      </c>
      <c r="C11" s="195"/>
      <c r="D11" s="195"/>
      <c r="E11" s="195"/>
      <c r="F11" s="195"/>
      <c r="G11" s="195"/>
      <c r="H11" s="195"/>
      <c r="I11" s="195"/>
      <c r="J11" s="195"/>
      <c r="K11" s="195"/>
      <c r="L11" s="195"/>
      <c r="M11" s="195"/>
      <c r="N11" s="195"/>
    </row>
    <row r="12" spans="1:15" x14ac:dyDescent="0.25">
      <c r="A12" s="4" t="s">
        <v>650</v>
      </c>
      <c r="B12" s="192" t="s">
        <v>651</v>
      </c>
      <c r="C12" s="193"/>
      <c r="D12" s="193"/>
      <c r="E12" s="193"/>
      <c r="F12" s="193"/>
      <c r="G12" s="193"/>
      <c r="H12" s="193"/>
      <c r="I12" s="193"/>
      <c r="J12" s="193"/>
      <c r="K12" s="193"/>
      <c r="L12" s="193"/>
      <c r="M12" s="193"/>
      <c r="N12" s="194"/>
    </row>
    <row r="13" spans="1:15" x14ac:dyDescent="0.25">
      <c r="A13" s="4" t="s">
        <v>617</v>
      </c>
      <c r="B13" s="195" t="s">
        <v>2</v>
      </c>
      <c r="C13" s="195"/>
      <c r="D13" s="195"/>
      <c r="E13" s="195"/>
      <c r="F13" s="195"/>
      <c r="G13" s="195"/>
      <c r="H13" s="195"/>
      <c r="I13" s="195"/>
      <c r="J13" s="195"/>
      <c r="K13" s="195"/>
      <c r="L13" s="195"/>
      <c r="M13" s="195"/>
      <c r="N13" s="195"/>
    </row>
    <row r="14" spans="1:15" x14ac:dyDescent="0.25">
      <c r="A14" s="4" t="s">
        <v>618</v>
      </c>
      <c r="B14" s="195" t="s">
        <v>3</v>
      </c>
      <c r="C14" s="195"/>
      <c r="D14" s="195"/>
      <c r="E14" s="195"/>
      <c r="F14" s="195"/>
      <c r="G14" s="195"/>
      <c r="H14" s="195"/>
      <c r="I14" s="195"/>
      <c r="J14" s="195"/>
      <c r="K14" s="195"/>
      <c r="L14" s="195"/>
      <c r="M14" s="195"/>
      <c r="N14" s="195"/>
    </row>
    <row r="15" spans="1:15" x14ac:dyDescent="0.25">
      <c r="A15" s="4" t="s">
        <v>619</v>
      </c>
      <c r="B15" s="192" t="s">
        <v>655</v>
      </c>
      <c r="C15" s="193"/>
      <c r="D15" s="193"/>
      <c r="E15" s="193"/>
      <c r="F15" s="193"/>
      <c r="G15" s="193"/>
      <c r="H15" s="193"/>
      <c r="I15" s="193"/>
      <c r="J15" s="193"/>
      <c r="K15" s="193"/>
      <c r="L15" s="193"/>
      <c r="M15" s="193"/>
      <c r="N15" s="194"/>
    </row>
    <row r="16" spans="1:15" x14ac:dyDescent="0.25">
      <c r="A16" s="4" t="s">
        <v>4</v>
      </c>
      <c r="B16" s="195" t="s">
        <v>434</v>
      </c>
      <c r="C16" s="195"/>
      <c r="D16" s="195"/>
      <c r="E16" s="195"/>
      <c r="F16" s="195"/>
      <c r="G16" s="195"/>
      <c r="H16" s="195"/>
      <c r="I16" s="195"/>
      <c r="J16" s="195"/>
      <c r="K16" s="195"/>
      <c r="L16" s="195"/>
      <c r="M16" s="195"/>
      <c r="N16" s="195"/>
    </row>
    <row r="17" spans="1:14" x14ac:dyDescent="0.25">
      <c r="A17" s="4" t="s">
        <v>620</v>
      </c>
      <c r="B17" s="192" t="s">
        <v>655</v>
      </c>
      <c r="C17" s="193"/>
      <c r="D17" s="193"/>
      <c r="E17" s="193"/>
      <c r="F17" s="193"/>
      <c r="G17" s="193"/>
      <c r="H17" s="193"/>
      <c r="I17" s="193"/>
      <c r="J17" s="193"/>
      <c r="K17" s="193"/>
      <c r="L17" s="193"/>
      <c r="M17" s="193"/>
      <c r="N17" s="194"/>
    </row>
    <row r="18" spans="1:14" x14ac:dyDescent="0.25">
      <c r="A18" s="4" t="s">
        <v>5</v>
      </c>
      <c r="B18" s="195" t="s">
        <v>6</v>
      </c>
      <c r="C18" s="195"/>
      <c r="D18" s="195"/>
      <c r="E18" s="195"/>
      <c r="F18" s="195"/>
      <c r="G18" s="195"/>
      <c r="H18" s="195"/>
      <c r="I18" s="195"/>
      <c r="J18" s="195"/>
      <c r="K18" s="195"/>
      <c r="L18" s="195"/>
      <c r="M18" s="195"/>
      <c r="N18" s="195"/>
    </row>
    <row r="19" spans="1:14" x14ac:dyDescent="0.25">
      <c r="A19" s="4" t="s">
        <v>621</v>
      </c>
      <c r="B19" s="192" t="s">
        <v>655</v>
      </c>
      <c r="C19" s="193"/>
      <c r="D19" s="193"/>
      <c r="E19" s="193"/>
      <c r="F19" s="193"/>
      <c r="G19" s="193"/>
      <c r="H19" s="193"/>
      <c r="I19" s="193"/>
      <c r="J19" s="193"/>
      <c r="K19" s="193"/>
      <c r="L19" s="193"/>
      <c r="M19" s="193"/>
      <c r="N19" s="194"/>
    </row>
    <row r="20" spans="1:14" x14ac:dyDescent="0.25">
      <c r="A20" s="4" t="s">
        <v>7</v>
      </c>
      <c r="B20" s="195" t="s">
        <v>435</v>
      </c>
      <c r="C20" s="195"/>
      <c r="D20" s="195"/>
      <c r="E20" s="195"/>
      <c r="F20" s="195"/>
      <c r="G20" s="195"/>
      <c r="H20" s="195"/>
      <c r="I20" s="195"/>
      <c r="J20" s="195"/>
      <c r="K20" s="195"/>
      <c r="L20" s="195"/>
      <c r="M20" s="195"/>
      <c r="N20" s="195"/>
    </row>
    <row r="21" spans="1:14" ht="30.75" customHeight="1" x14ac:dyDescent="0.25">
      <c r="A21" s="113" t="s">
        <v>8</v>
      </c>
      <c r="B21" s="196" t="s">
        <v>528</v>
      </c>
      <c r="C21" s="196"/>
      <c r="D21" s="196"/>
      <c r="E21" s="196"/>
      <c r="F21" s="196"/>
      <c r="G21" s="196"/>
      <c r="H21" s="196"/>
      <c r="I21" s="196"/>
      <c r="J21" s="196"/>
      <c r="K21" s="196"/>
      <c r="L21" s="196"/>
      <c r="M21" s="196"/>
      <c r="N21" s="196"/>
    </row>
    <row r="22" spans="1:14" x14ac:dyDescent="0.25">
      <c r="A22" s="4" t="s">
        <v>436</v>
      </c>
      <c r="B22" s="195" t="s">
        <v>437</v>
      </c>
      <c r="C22" s="195"/>
      <c r="D22" s="195"/>
      <c r="E22" s="195"/>
      <c r="F22" s="195"/>
      <c r="G22" s="195"/>
      <c r="H22" s="195"/>
      <c r="I22" s="195"/>
      <c r="J22" s="195"/>
      <c r="K22" s="195"/>
      <c r="L22" s="195"/>
      <c r="M22" s="195"/>
      <c r="N22" s="195"/>
    </row>
    <row r="23" spans="1:14" x14ac:dyDescent="0.25">
      <c r="A23" s="4" t="s">
        <v>438</v>
      </c>
      <c r="B23" s="195" t="s">
        <v>439</v>
      </c>
      <c r="C23" s="195"/>
      <c r="D23" s="195"/>
      <c r="E23" s="195"/>
      <c r="F23" s="195"/>
      <c r="G23" s="195"/>
      <c r="H23" s="195"/>
      <c r="I23" s="195"/>
      <c r="J23" s="195"/>
      <c r="K23" s="195"/>
      <c r="L23" s="195"/>
      <c r="M23" s="195"/>
      <c r="N23" s="195"/>
    </row>
    <row r="48" spans="1:1" x14ac:dyDescent="0.25">
      <c r="A48" t="s">
        <v>440</v>
      </c>
    </row>
    <row r="49" spans="1:1" x14ac:dyDescent="0.25">
      <c r="A49" t="s">
        <v>441</v>
      </c>
    </row>
    <row r="59" spans="1:1" x14ac:dyDescent="0.25">
      <c r="A59" t="s">
        <v>442</v>
      </c>
    </row>
    <row r="60" spans="1:1" x14ac:dyDescent="0.25">
      <c r="A60" t="s">
        <v>443</v>
      </c>
    </row>
    <row r="61" spans="1:1" x14ac:dyDescent="0.25">
      <c r="A61" t="s">
        <v>444</v>
      </c>
    </row>
    <row r="62" spans="1:1" x14ac:dyDescent="0.25">
      <c r="A62" t="s">
        <v>445</v>
      </c>
    </row>
    <row r="74" spans="1:1" x14ac:dyDescent="0.25">
      <c r="A74" t="s">
        <v>446</v>
      </c>
    </row>
    <row r="75" spans="1:1" x14ac:dyDescent="0.25">
      <c r="A75" t="s">
        <v>447</v>
      </c>
    </row>
    <row r="76" spans="1:1" x14ac:dyDescent="0.25">
      <c r="A76" t="s">
        <v>448</v>
      </c>
    </row>
    <row r="90" spans="1:1" x14ac:dyDescent="0.25">
      <c r="A90" t="s">
        <v>449</v>
      </c>
    </row>
    <row r="91" spans="1:1" x14ac:dyDescent="0.25">
      <c r="A91" t="s">
        <v>450</v>
      </c>
    </row>
    <row r="92" spans="1:1" x14ac:dyDescent="0.25">
      <c r="A92" t="s">
        <v>451</v>
      </c>
    </row>
    <row r="93" spans="1:1" x14ac:dyDescent="0.25">
      <c r="A93" t="s">
        <v>452</v>
      </c>
    </row>
    <row r="109" spans="1:1" x14ac:dyDescent="0.25">
      <c r="A109" t="s">
        <v>453</v>
      </c>
    </row>
    <row r="110" spans="1:1" x14ac:dyDescent="0.25">
      <c r="A110" t="s">
        <v>454</v>
      </c>
    </row>
    <row r="111" spans="1:1" x14ac:dyDescent="0.25">
      <c r="A111" t="s">
        <v>455</v>
      </c>
    </row>
    <row r="112" spans="1:1" x14ac:dyDescent="0.25">
      <c r="A112" t="s">
        <v>456</v>
      </c>
    </row>
    <row r="113" spans="1:1" x14ac:dyDescent="0.25">
      <c r="A113" t="s">
        <v>457</v>
      </c>
    </row>
    <row r="131" spans="1:1" x14ac:dyDescent="0.25">
      <c r="A131" t="s">
        <v>458</v>
      </c>
    </row>
    <row r="132" spans="1:1" x14ac:dyDescent="0.25">
      <c r="A132" t="s">
        <v>459</v>
      </c>
    </row>
    <row r="133" spans="1:1" x14ac:dyDescent="0.25">
      <c r="A133" t="s">
        <v>460</v>
      </c>
    </row>
    <row r="134" spans="1:1" x14ac:dyDescent="0.25">
      <c r="A134" t="s">
        <v>461</v>
      </c>
    </row>
    <row r="135" spans="1:1" x14ac:dyDescent="0.25">
      <c r="A135" t="s">
        <v>462</v>
      </c>
    </row>
    <row r="136" spans="1:1" x14ac:dyDescent="0.25">
      <c r="A136" t="s">
        <v>463</v>
      </c>
    </row>
    <row r="137" spans="1:1" x14ac:dyDescent="0.25">
      <c r="A137" t="s">
        <v>464</v>
      </c>
    </row>
    <row r="159" spans="1:1" x14ac:dyDescent="0.25">
      <c r="A159" t="s">
        <v>465</v>
      </c>
    </row>
    <row r="160" spans="1:1" x14ac:dyDescent="0.25">
      <c r="A160" t="s">
        <v>466</v>
      </c>
    </row>
    <row r="161" spans="1:1" x14ac:dyDescent="0.25">
      <c r="A161" t="s">
        <v>467</v>
      </c>
    </row>
    <row r="185" spans="1:1" x14ac:dyDescent="0.25">
      <c r="A185" t="s">
        <v>468</v>
      </c>
    </row>
    <row r="186" spans="1:1" x14ac:dyDescent="0.25">
      <c r="A186" t="s">
        <v>469</v>
      </c>
    </row>
    <row r="187" spans="1:1" x14ac:dyDescent="0.25">
      <c r="A187" t="s">
        <v>470</v>
      </c>
    </row>
    <row r="188" spans="1:1" x14ac:dyDescent="0.25">
      <c r="A188" t="s">
        <v>471</v>
      </c>
    </row>
    <row r="189" spans="1:1" x14ac:dyDescent="0.25">
      <c r="A189" t="s">
        <v>472</v>
      </c>
    </row>
    <row r="190" spans="1:1" x14ac:dyDescent="0.25">
      <c r="A190" t="s">
        <v>473</v>
      </c>
    </row>
    <row r="216" spans="1:1" x14ac:dyDescent="0.25">
      <c r="A216" t="s">
        <v>474</v>
      </c>
    </row>
    <row r="217" spans="1:1" x14ac:dyDescent="0.25">
      <c r="A217" t="s">
        <v>475</v>
      </c>
    </row>
    <row r="218" spans="1:1" x14ac:dyDescent="0.25">
      <c r="A218" t="s">
        <v>476</v>
      </c>
    </row>
    <row r="248" spans="1:1" x14ac:dyDescent="0.25">
      <c r="A248" t="s">
        <v>477</v>
      </c>
    </row>
    <row r="249" spans="1:1" x14ac:dyDescent="0.25">
      <c r="A249" t="s">
        <v>478</v>
      </c>
    </row>
    <row r="250" spans="1:1" x14ac:dyDescent="0.25">
      <c r="A250" t="s">
        <v>479</v>
      </c>
    </row>
    <row r="251" spans="1:1" x14ac:dyDescent="0.25">
      <c r="A251" t="s">
        <v>480</v>
      </c>
    </row>
    <row r="252" spans="1:1" x14ac:dyDescent="0.25">
      <c r="A252" t="s">
        <v>481</v>
      </c>
    </row>
  </sheetData>
  <sheetProtection algorithmName="SHA-512" hashValue="Ui6mCOAL/nu14odj0cFYkWA50KW4iZxnTgxPxvLV4mvh4DmEvF/ptP1oSafWPveQQ1uv4x/5aeuQe43M4cXkuw==" saltValue="OQDRrOILB368L2Swe3vfSg==" spinCount="100000" sheet="1" objects="1" scenarios="1"/>
  <mergeCells count="16">
    <mergeCell ref="B21:N21"/>
    <mergeCell ref="B22:N22"/>
    <mergeCell ref="B23:N23"/>
    <mergeCell ref="B12:N12"/>
    <mergeCell ref="B11:N11"/>
    <mergeCell ref="B13:N13"/>
    <mergeCell ref="B14:N14"/>
    <mergeCell ref="B15:N15"/>
    <mergeCell ref="B16:N16"/>
    <mergeCell ref="B17:N17"/>
    <mergeCell ref="B18:N18"/>
    <mergeCell ref="A5:O5"/>
    <mergeCell ref="A7:O7"/>
    <mergeCell ref="B10:N10"/>
    <mergeCell ref="B19:N19"/>
    <mergeCell ref="B20:N2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F1636-E802-462E-8D8E-F8C435C768A3}">
  <dimension ref="A1:R85"/>
  <sheetViews>
    <sheetView workbookViewId="0">
      <selection activeCell="I35" sqref="I35"/>
    </sheetView>
  </sheetViews>
  <sheetFormatPr defaultRowHeight="15" x14ac:dyDescent="0.25"/>
  <cols>
    <col min="1" max="1" width="38.42578125" customWidth="1"/>
    <col min="2" max="2" width="12.140625" customWidth="1"/>
    <col min="3" max="3" width="10.85546875" customWidth="1"/>
    <col min="6" max="6" width="10.5703125" customWidth="1"/>
    <col min="7" max="7" width="17.140625" customWidth="1"/>
    <col min="8" max="8" width="11.28515625" customWidth="1"/>
    <col min="9" max="9" width="11.85546875" customWidth="1"/>
  </cols>
  <sheetData>
    <row r="1" spans="1:18" ht="18.75" x14ac:dyDescent="0.3">
      <c r="A1" s="1" t="s">
        <v>336</v>
      </c>
    </row>
    <row r="3" spans="1:18" ht="30.75" customHeight="1" x14ac:dyDescent="0.25">
      <c r="A3" s="190" t="s">
        <v>384</v>
      </c>
      <c r="B3" s="190"/>
      <c r="C3" s="190"/>
      <c r="D3" s="190"/>
      <c r="E3" s="190"/>
      <c r="F3" s="190"/>
      <c r="G3" s="190"/>
      <c r="H3" s="190"/>
      <c r="I3" s="190"/>
      <c r="J3" s="190"/>
      <c r="K3" s="190"/>
      <c r="L3" s="190"/>
      <c r="M3" s="190"/>
    </row>
    <row r="4" spans="1:18" ht="23.25" customHeight="1" x14ac:dyDescent="0.25">
      <c r="A4" s="190" t="s">
        <v>385</v>
      </c>
      <c r="B4" s="190"/>
      <c r="C4" s="190"/>
      <c r="D4" s="190"/>
      <c r="E4" s="190"/>
      <c r="F4" s="190"/>
      <c r="G4" s="190"/>
      <c r="H4" s="190"/>
      <c r="I4" s="190"/>
      <c r="J4" s="190"/>
      <c r="K4" s="190"/>
      <c r="L4" s="190"/>
    </row>
    <row r="5" spans="1:18" ht="23.25" customHeight="1" x14ac:dyDescent="0.25">
      <c r="A5" s="2"/>
      <c r="B5" s="2"/>
      <c r="C5" s="2"/>
      <c r="D5" s="2"/>
      <c r="E5" s="2"/>
      <c r="F5" s="2"/>
      <c r="G5" s="2"/>
      <c r="H5" s="2"/>
      <c r="I5" s="2"/>
      <c r="J5" s="2"/>
      <c r="K5" s="2"/>
      <c r="L5" s="2"/>
    </row>
    <row r="6" spans="1:18" ht="14.25" customHeight="1" x14ac:dyDescent="0.25">
      <c r="A6" s="190" t="s">
        <v>391</v>
      </c>
      <c r="B6" s="190"/>
      <c r="C6" s="190"/>
      <c r="D6" s="190"/>
      <c r="E6" s="190"/>
      <c r="F6" s="190"/>
      <c r="G6" s="190"/>
      <c r="H6" s="190"/>
      <c r="I6" s="190"/>
      <c r="J6" s="190"/>
      <c r="K6" s="190"/>
      <c r="L6" s="190"/>
    </row>
    <row r="7" spans="1:18" ht="14.25" customHeight="1" x14ac:dyDescent="0.25">
      <c r="A7" s="2"/>
      <c r="B7" s="2"/>
      <c r="C7" s="2"/>
      <c r="D7" s="2"/>
      <c r="E7" s="2"/>
      <c r="F7" s="2"/>
      <c r="G7" s="2"/>
      <c r="H7" s="2"/>
      <c r="I7" s="2"/>
      <c r="J7" s="2"/>
      <c r="K7" s="2"/>
      <c r="L7" s="2"/>
    </row>
    <row r="8" spans="1:18" ht="28.5" customHeight="1" x14ac:dyDescent="0.25">
      <c r="A8" s="8" t="s">
        <v>390</v>
      </c>
      <c r="B8" s="6" t="s">
        <v>128</v>
      </c>
      <c r="C8" s="19" t="s">
        <v>193</v>
      </c>
      <c r="D8" s="19" t="s">
        <v>194</v>
      </c>
      <c r="E8" s="2"/>
      <c r="F8" s="2"/>
      <c r="G8" s="2"/>
      <c r="H8" s="2"/>
      <c r="I8" s="2"/>
      <c r="J8" s="2"/>
      <c r="K8" s="2"/>
      <c r="L8" s="2"/>
    </row>
    <row r="9" spans="1:18" ht="14.25" customHeight="1" x14ac:dyDescent="0.25">
      <c r="A9" s="26" t="s">
        <v>389</v>
      </c>
      <c r="B9" s="8">
        <v>1</v>
      </c>
      <c r="C9" s="26">
        <v>28</v>
      </c>
      <c r="D9" s="26">
        <v>265</v>
      </c>
      <c r="E9" s="205" t="s">
        <v>521</v>
      </c>
      <c r="F9" s="190"/>
      <c r="G9" s="190"/>
      <c r="H9" s="190"/>
      <c r="I9" s="190"/>
      <c r="J9" s="190"/>
      <c r="K9" s="190"/>
      <c r="L9" s="190"/>
    </row>
    <row r="10" spans="1:18" ht="46.5" customHeight="1" x14ac:dyDescent="0.25">
      <c r="A10" s="190" t="s">
        <v>520</v>
      </c>
      <c r="B10" s="190"/>
      <c r="C10" s="190"/>
      <c r="D10" s="190"/>
      <c r="E10" s="190"/>
      <c r="F10" s="190"/>
      <c r="G10" s="190"/>
      <c r="H10" s="190"/>
      <c r="I10" s="190"/>
      <c r="J10" s="190"/>
      <c r="K10" s="190"/>
      <c r="L10" s="190"/>
    </row>
    <row r="11" spans="1:18" ht="14.25" customHeight="1" x14ac:dyDescent="0.25">
      <c r="A11" s="2"/>
      <c r="B11" s="2"/>
      <c r="C11" s="2"/>
      <c r="D11" s="2"/>
      <c r="E11" s="2"/>
      <c r="F11" s="2"/>
      <c r="G11" s="2"/>
      <c r="H11" s="2"/>
      <c r="I11" s="2"/>
      <c r="J11" s="2"/>
      <c r="K11" s="2"/>
      <c r="L11" s="2"/>
    </row>
    <row r="12" spans="1:18" ht="21" customHeight="1" x14ac:dyDescent="0.25">
      <c r="A12" s="7" t="s">
        <v>186</v>
      </c>
    </row>
    <row r="13" spans="1:18" x14ac:dyDescent="0.25">
      <c r="A13" s="3" t="s">
        <v>105</v>
      </c>
    </row>
    <row r="14" spans="1:18" x14ac:dyDescent="0.25">
      <c r="A14" s="8" t="s">
        <v>115</v>
      </c>
      <c r="B14" s="6" t="s">
        <v>106</v>
      </c>
      <c r="C14" s="6" t="s">
        <v>107</v>
      </c>
      <c r="D14" s="6" t="s">
        <v>108</v>
      </c>
      <c r="E14" s="6" t="s">
        <v>109</v>
      </c>
      <c r="F14" s="6" t="s">
        <v>110</v>
      </c>
      <c r="G14" s="6" t="s">
        <v>111</v>
      </c>
      <c r="H14" s="6" t="s">
        <v>164</v>
      </c>
      <c r="I14" s="6" t="s">
        <v>112</v>
      </c>
      <c r="J14" s="6" t="s">
        <v>113</v>
      </c>
      <c r="K14" s="6" t="s">
        <v>114</v>
      </c>
      <c r="L14" s="6" t="s">
        <v>118</v>
      </c>
      <c r="M14" s="6" t="s">
        <v>117</v>
      </c>
      <c r="N14" s="6" t="s">
        <v>116</v>
      </c>
      <c r="O14" s="6" t="s">
        <v>338</v>
      </c>
      <c r="P14" s="6" t="s">
        <v>339</v>
      </c>
      <c r="Q14" s="6" t="s">
        <v>340</v>
      </c>
      <c r="R14" s="6" t="s">
        <v>341</v>
      </c>
    </row>
    <row r="15" spans="1:18" x14ac:dyDescent="0.25">
      <c r="A15" s="47" t="s">
        <v>209</v>
      </c>
      <c r="B15" s="4">
        <v>0.33</v>
      </c>
      <c r="C15" s="4">
        <v>0.28000000000000003</v>
      </c>
      <c r="D15" s="4">
        <v>0.24</v>
      </c>
      <c r="E15" s="4">
        <v>0.19</v>
      </c>
      <c r="F15" s="4">
        <v>0.14000000000000001</v>
      </c>
      <c r="G15" s="4">
        <v>0.15</v>
      </c>
      <c r="H15" s="4">
        <v>0.19</v>
      </c>
      <c r="I15" s="4">
        <v>0.23</v>
      </c>
      <c r="J15" s="4">
        <v>0.19</v>
      </c>
      <c r="K15" s="4">
        <v>0.16</v>
      </c>
      <c r="L15" s="4">
        <v>0.15</v>
      </c>
      <c r="M15" s="4">
        <v>0.17</v>
      </c>
      <c r="N15" s="4">
        <v>0.16</v>
      </c>
      <c r="O15" s="4"/>
      <c r="P15" s="4"/>
      <c r="Q15" s="4"/>
      <c r="R15" s="4"/>
    </row>
    <row r="16" spans="1:18" x14ac:dyDescent="0.25">
      <c r="A16" s="47" t="s">
        <v>210</v>
      </c>
      <c r="B16" s="4">
        <v>0.03</v>
      </c>
      <c r="C16" s="4">
        <v>0.03</v>
      </c>
      <c r="D16" s="4">
        <v>0.03</v>
      </c>
      <c r="E16" s="4">
        <v>0.02</v>
      </c>
      <c r="F16" s="4">
        <v>0.02</v>
      </c>
      <c r="G16" s="4">
        <v>0.02</v>
      </c>
      <c r="H16" s="4">
        <v>0.03</v>
      </c>
      <c r="I16" s="4">
        <v>0.03</v>
      </c>
      <c r="J16" s="4">
        <v>0.03</v>
      </c>
      <c r="K16" s="4">
        <v>0.02</v>
      </c>
      <c r="L16" s="4">
        <v>0.02</v>
      </c>
      <c r="M16" s="4">
        <v>0.02</v>
      </c>
      <c r="N16" s="4">
        <v>0.02</v>
      </c>
      <c r="O16" s="4"/>
      <c r="P16" s="4"/>
      <c r="Q16" s="4"/>
      <c r="R16" s="4"/>
    </row>
    <row r="17" spans="1:18" ht="18" customHeight="1" x14ac:dyDescent="0.25">
      <c r="A17" s="54" t="s">
        <v>211</v>
      </c>
      <c r="B17" s="4">
        <v>0.36</v>
      </c>
      <c r="C17" s="4">
        <v>0.31000000000000005</v>
      </c>
      <c r="D17" s="4">
        <v>0.27</v>
      </c>
      <c r="E17" s="4">
        <v>0.21</v>
      </c>
      <c r="F17" s="4">
        <v>0.16</v>
      </c>
      <c r="G17" s="4">
        <v>0.16999999999999998</v>
      </c>
      <c r="H17" s="4">
        <v>0.22</v>
      </c>
      <c r="I17" s="4">
        <v>0.26</v>
      </c>
      <c r="J17" s="4">
        <v>0.22</v>
      </c>
      <c r="K17" s="4">
        <v>0.18</v>
      </c>
      <c r="L17" s="4">
        <v>0.16999999999999998</v>
      </c>
      <c r="M17" s="4">
        <v>0.19</v>
      </c>
      <c r="N17" s="4">
        <v>0.18</v>
      </c>
      <c r="O17" s="4"/>
      <c r="P17" s="4"/>
      <c r="Q17" s="4"/>
      <c r="R17" s="4"/>
    </row>
    <row r="18" spans="1:18" x14ac:dyDescent="0.25">
      <c r="A18" s="3" t="s">
        <v>207</v>
      </c>
    </row>
    <row r="19" spans="1:18" x14ac:dyDescent="0.25">
      <c r="A19" s="4" t="s">
        <v>115</v>
      </c>
      <c r="B19" s="4">
        <v>365</v>
      </c>
      <c r="C19" s="4">
        <v>365</v>
      </c>
      <c r="D19" s="4">
        <v>366</v>
      </c>
      <c r="E19" s="4">
        <v>365</v>
      </c>
      <c r="F19" s="4">
        <v>365</v>
      </c>
      <c r="G19" s="4">
        <v>365</v>
      </c>
      <c r="H19" s="4">
        <v>366</v>
      </c>
      <c r="I19" s="4">
        <v>365</v>
      </c>
      <c r="J19" s="4">
        <v>365</v>
      </c>
      <c r="K19" s="4">
        <v>365</v>
      </c>
      <c r="L19" s="4">
        <v>366</v>
      </c>
      <c r="M19" s="4">
        <v>365</v>
      </c>
      <c r="N19" s="4">
        <v>365</v>
      </c>
      <c r="O19" s="4">
        <v>365</v>
      </c>
      <c r="P19" s="4">
        <v>366</v>
      </c>
      <c r="Q19" s="4">
        <v>365</v>
      </c>
      <c r="R19" s="4">
        <v>365</v>
      </c>
    </row>
    <row r="20" spans="1:18" x14ac:dyDescent="0.25">
      <c r="A20" s="4" t="s">
        <v>208</v>
      </c>
      <c r="B20" s="4">
        <v>28</v>
      </c>
      <c r="C20" s="4">
        <v>28</v>
      </c>
      <c r="D20" s="4">
        <v>29</v>
      </c>
      <c r="E20" s="4">
        <v>28</v>
      </c>
      <c r="F20" s="4">
        <v>28</v>
      </c>
      <c r="G20" s="4">
        <v>28</v>
      </c>
      <c r="H20" s="4">
        <v>29</v>
      </c>
      <c r="I20" s="4">
        <v>28</v>
      </c>
      <c r="J20" s="4">
        <v>28</v>
      </c>
      <c r="K20" s="4">
        <v>28</v>
      </c>
      <c r="L20" s="4">
        <v>29</v>
      </c>
      <c r="M20" s="4">
        <v>28</v>
      </c>
      <c r="N20" s="4">
        <v>28</v>
      </c>
      <c r="O20" s="4">
        <v>28</v>
      </c>
      <c r="P20" s="4">
        <v>28</v>
      </c>
      <c r="Q20" s="4">
        <v>28</v>
      </c>
      <c r="R20" s="4">
        <v>28</v>
      </c>
    </row>
    <row r="22" spans="1:18" ht="15.75" x14ac:dyDescent="0.25">
      <c r="A22" s="7" t="s">
        <v>628</v>
      </c>
    </row>
    <row r="23" spans="1:18" x14ac:dyDescent="0.25">
      <c r="A23" s="3" t="s">
        <v>124</v>
      </c>
    </row>
    <row r="24" spans="1:18" x14ac:dyDescent="0.25">
      <c r="A24" s="8" t="s">
        <v>87</v>
      </c>
      <c r="B24" s="6" t="s">
        <v>146</v>
      </c>
      <c r="C24" s="6" t="s">
        <v>100</v>
      </c>
      <c r="D24" s="213" t="s">
        <v>213</v>
      </c>
      <c r="E24" s="214"/>
      <c r="F24" s="215"/>
    </row>
    <row r="25" spans="1:18" x14ac:dyDescent="0.25">
      <c r="A25" s="4"/>
      <c r="B25" s="4"/>
      <c r="C25" s="11"/>
      <c r="D25" s="6" t="s">
        <v>128</v>
      </c>
      <c r="E25" s="6" t="s">
        <v>129</v>
      </c>
      <c r="F25" s="6" t="s">
        <v>130</v>
      </c>
    </row>
    <row r="26" spans="1:18" x14ac:dyDescent="0.25">
      <c r="A26" s="4" t="s">
        <v>125</v>
      </c>
      <c r="B26" s="32">
        <v>34.200000000000003</v>
      </c>
      <c r="C26" s="11" t="s">
        <v>178</v>
      </c>
      <c r="D26" s="4">
        <v>67.400000000000006</v>
      </c>
      <c r="E26" s="4">
        <v>0.6</v>
      </c>
      <c r="F26" s="4">
        <v>1.6</v>
      </c>
    </row>
    <row r="27" spans="1:18" x14ac:dyDescent="0.25">
      <c r="A27" s="4" t="s">
        <v>626</v>
      </c>
      <c r="B27" s="32">
        <v>38.6</v>
      </c>
      <c r="C27" s="11" t="s">
        <v>178</v>
      </c>
      <c r="D27" s="4">
        <v>69.900000000000006</v>
      </c>
      <c r="E27" s="4">
        <v>0.01</v>
      </c>
      <c r="F27" s="4">
        <v>0.5</v>
      </c>
    </row>
    <row r="28" spans="1:18" x14ac:dyDescent="0.25">
      <c r="A28" s="4" t="s">
        <v>627</v>
      </c>
      <c r="B28" s="32">
        <v>38.6</v>
      </c>
      <c r="C28" s="11" t="s">
        <v>178</v>
      </c>
      <c r="D28" s="4">
        <v>69.900000000000006</v>
      </c>
      <c r="E28" s="4">
        <v>7.0000000000000007E-2</v>
      </c>
      <c r="F28" s="4">
        <v>0.4</v>
      </c>
    </row>
    <row r="29" spans="1:18" x14ac:dyDescent="0.25">
      <c r="A29" s="4" t="s">
        <v>121</v>
      </c>
      <c r="B29" s="32">
        <v>39.700000000000003</v>
      </c>
      <c r="C29" s="11" t="s">
        <v>178</v>
      </c>
      <c r="D29" s="4">
        <v>73.599999999999994</v>
      </c>
      <c r="E29" s="4">
        <v>0.08</v>
      </c>
      <c r="F29" s="4">
        <v>0.5</v>
      </c>
    </row>
    <row r="30" spans="1:18" x14ac:dyDescent="0.25">
      <c r="A30" s="4" t="s">
        <v>122</v>
      </c>
      <c r="B30" s="32">
        <v>26.2</v>
      </c>
      <c r="C30" s="11" t="s">
        <v>178</v>
      </c>
      <c r="D30" s="4">
        <v>60.2</v>
      </c>
      <c r="E30" s="4">
        <v>0.7</v>
      </c>
      <c r="F30" s="4">
        <v>0.6</v>
      </c>
    </row>
    <row r="31" spans="1:18" x14ac:dyDescent="0.25">
      <c r="A31" s="4" t="s">
        <v>123</v>
      </c>
      <c r="B31" s="32">
        <v>34.6</v>
      </c>
      <c r="C31" s="11" t="s">
        <v>178</v>
      </c>
      <c r="D31" s="4">
        <v>0</v>
      </c>
      <c r="E31" s="4">
        <v>0.8</v>
      </c>
      <c r="F31" s="4">
        <v>1.7</v>
      </c>
    </row>
    <row r="32" spans="1:18" x14ac:dyDescent="0.25">
      <c r="A32" s="4" t="s">
        <v>126</v>
      </c>
      <c r="B32" s="32">
        <v>23.4</v>
      </c>
      <c r="C32" s="11" t="s">
        <v>178</v>
      </c>
      <c r="D32" s="4">
        <v>0</v>
      </c>
      <c r="E32" s="4">
        <v>0.8</v>
      </c>
      <c r="F32" s="4">
        <v>1.7</v>
      </c>
    </row>
    <row r="33" spans="1:6" x14ac:dyDescent="0.25">
      <c r="A33" s="4" t="s">
        <v>127</v>
      </c>
      <c r="B33" s="32">
        <v>23.4</v>
      </c>
      <c r="C33" s="11" t="s">
        <v>178</v>
      </c>
      <c r="D33" s="4">
        <v>0</v>
      </c>
      <c r="E33" s="4">
        <v>0.8</v>
      </c>
      <c r="F33" s="4">
        <v>1.7</v>
      </c>
    </row>
    <row r="34" spans="1:6" x14ac:dyDescent="0.25">
      <c r="A34" s="4" t="s">
        <v>344</v>
      </c>
      <c r="B34" s="32">
        <v>3.9300000000000002E-2</v>
      </c>
      <c r="C34" s="11" t="s">
        <v>179</v>
      </c>
      <c r="D34" s="4">
        <v>51.4</v>
      </c>
      <c r="E34" s="4">
        <v>7.3</v>
      </c>
      <c r="F34" s="4">
        <v>0.3</v>
      </c>
    </row>
    <row r="35" spans="1:6" x14ac:dyDescent="0.25">
      <c r="A35" s="4" t="s">
        <v>345</v>
      </c>
      <c r="B35" s="32">
        <v>3.9300000000000002E-2</v>
      </c>
      <c r="C35" s="11" t="s">
        <v>179</v>
      </c>
      <c r="D35" s="4">
        <v>51.4</v>
      </c>
      <c r="E35" s="4">
        <v>2.8</v>
      </c>
      <c r="F35" s="4">
        <v>0.3</v>
      </c>
    </row>
    <row r="36" spans="1:6" x14ac:dyDescent="0.25">
      <c r="A36" s="31" t="s">
        <v>131</v>
      </c>
      <c r="C36" s="11"/>
    </row>
    <row r="37" spans="1:6" x14ac:dyDescent="0.25">
      <c r="A37" s="4" t="s">
        <v>167</v>
      </c>
      <c r="B37" s="4">
        <v>34.200000000000003</v>
      </c>
      <c r="C37" s="11" t="s">
        <v>178</v>
      </c>
      <c r="D37" s="4">
        <v>67.400000000000006</v>
      </c>
      <c r="E37" s="4">
        <v>0.2</v>
      </c>
      <c r="F37" s="4">
        <v>0.2</v>
      </c>
    </row>
    <row r="38" spans="1:6" x14ac:dyDescent="0.25">
      <c r="A38" s="4" t="s">
        <v>165</v>
      </c>
      <c r="B38" s="4">
        <v>37.299999999999997</v>
      </c>
      <c r="C38" s="11" t="s">
        <v>178</v>
      </c>
      <c r="D38" s="4">
        <v>69.5</v>
      </c>
      <c r="E38" s="4">
        <v>0.03</v>
      </c>
      <c r="F38" s="4">
        <v>0.2</v>
      </c>
    </row>
    <row r="39" spans="1:6" x14ac:dyDescent="0.25">
      <c r="A39" s="4" t="s">
        <v>120</v>
      </c>
      <c r="B39" s="4">
        <v>38.6</v>
      </c>
      <c r="C39" s="11" t="s">
        <v>178</v>
      </c>
      <c r="D39" s="4">
        <v>69.900000000000006</v>
      </c>
      <c r="E39" s="4">
        <v>0.1</v>
      </c>
      <c r="F39" s="4">
        <v>0.2</v>
      </c>
    </row>
    <row r="40" spans="1:6" x14ac:dyDescent="0.25">
      <c r="A40" s="4" t="s">
        <v>121</v>
      </c>
      <c r="B40" s="4">
        <v>39.700000000000003</v>
      </c>
      <c r="C40" s="11" t="s">
        <v>178</v>
      </c>
      <c r="D40" s="4">
        <v>73.599999999999994</v>
      </c>
      <c r="E40" s="4">
        <v>0.04</v>
      </c>
      <c r="F40" s="4">
        <v>0.2</v>
      </c>
    </row>
    <row r="41" spans="1:6" x14ac:dyDescent="0.25">
      <c r="A41" s="4" t="s">
        <v>122</v>
      </c>
      <c r="B41" s="4">
        <v>25.7</v>
      </c>
      <c r="C41" s="11" t="s">
        <v>178</v>
      </c>
      <c r="D41" s="4">
        <v>60.2</v>
      </c>
      <c r="E41" s="4">
        <v>0.2</v>
      </c>
      <c r="F41" s="4">
        <v>0.2</v>
      </c>
    </row>
    <row r="42" spans="1:6" x14ac:dyDescent="0.25">
      <c r="A42" s="4" t="s">
        <v>166</v>
      </c>
      <c r="B42" s="4">
        <v>31.4</v>
      </c>
      <c r="C42" s="11" t="s">
        <v>178</v>
      </c>
      <c r="D42" s="4">
        <v>69.8</v>
      </c>
      <c r="E42" s="4">
        <v>0.01</v>
      </c>
      <c r="F42" s="4">
        <v>0.01</v>
      </c>
    </row>
    <row r="43" spans="1:6" x14ac:dyDescent="0.25">
      <c r="A43" s="4" t="s">
        <v>123</v>
      </c>
      <c r="B43" s="4">
        <v>34.6</v>
      </c>
      <c r="C43" s="11" t="s">
        <v>178</v>
      </c>
      <c r="D43" s="4">
        <v>0</v>
      </c>
      <c r="E43" s="4">
        <v>0.08</v>
      </c>
      <c r="F43" s="4">
        <v>0.2</v>
      </c>
    </row>
    <row r="44" spans="1:6" x14ac:dyDescent="0.25">
      <c r="A44" s="4" t="s">
        <v>168</v>
      </c>
      <c r="B44" s="4">
        <v>23.4</v>
      </c>
      <c r="C44" s="11" t="s">
        <v>178</v>
      </c>
      <c r="D44" s="4">
        <v>0</v>
      </c>
      <c r="E44" s="4">
        <v>0.08</v>
      </c>
      <c r="F44" s="4">
        <v>0.2</v>
      </c>
    </row>
    <row r="45" spans="1:6" x14ac:dyDescent="0.25">
      <c r="A45" s="4" t="s">
        <v>169</v>
      </c>
      <c r="B45" s="4">
        <v>23.4</v>
      </c>
      <c r="C45" s="11" t="s">
        <v>178</v>
      </c>
      <c r="D45" s="4">
        <v>0</v>
      </c>
      <c r="E45" s="4">
        <v>0.08</v>
      </c>
      <c r="F45" s="4">
        <v>0.2</v>
      </c>
    </row>
    <row r="46" spans="1:6" x14ac:dyDescent="0.25">
      <c r="A46" s="4" t="s">
        <v>342</v>
      </c>
      <c r="B46" s="32">
        <v>3.9300000000000002E-2</v>
      </c>
      <c r="C46" s="11" t="s">
        <v>179</v>
      </c>
      <c r="D46" s="4">
        <v>51.4</v>
      </c>
      <c r="E46" s="4">
        <v>0.1</v>
      </c>
      <c r="F46" s="4">
        <v>0.03</v>
      </c>
    </row>
    <row r="47" spans="1:6" x14ac:dyDescent="0.25">
      <c r="A47" s="4" t="s">
        <v>343</v>
      </c>
      <c r="B47" s="32">
        <v>3.7699999999999997E-2</v>
      </c>
      <c r="C47" s="11" t="s">
        <v>179</v>
      </c>
      <c r="D47" s="4">
        <v>0</v>
      </c>
      <c r="E47" s="4">
        <v>6.4</v>
      </c>
      <c r="F47" s="4">
        <v>0.03</v>
      </c>
    </row>
    <row r="48" spans="1:6" x14ac:dyDescent="0.25">
      <c r="A48" s="4" t="s">
        <v>174</v>
      </c>
      <c r="B48" s="4">
        <v>16.2</v>
      </c>
      <c r="C48" s="11" t="s">
        <v>180</v>
      </c>
      <c r="D48" s="4">
        <v>0</v>
      </c>
      <c r="E48" s="4">
        <v>0.1</v>
      </c>
      <c r="F48" s="4">
        <v>1.1000000000000001</v>
      </c>
    </row>
    <row r="49" spans="1:11" x14ac:dyDescent="0.25">
      <c r="A49" s="29" t="s">
        <v>175</v>
      </c>
      <c r="B49" s="29">
        <v>10.4</v>
      </c>
      <c r="C49" s="11" t="s">
        <v>180</v>
      </c>
      <c r="D49" s="29">
        <v>0</v>
      </c>
      <c r="E49" s="29">
        <v>0.1</v>
      </c>
      <c r="F49" s="29">
        <v>1.1000000000000001</v>
      </c>
    </row>
    <row r="50" spans="1:11" x14ac:dyDescent="0.25">
      <c r="A50" s="29" t="s">
        <v>176</v>
      </c>
      <c r="B50" s="29">
        <v>31.1</v>
      </c>
      <c r="C50" s="11" t="s">
        <v>180</v>
      </c>
      <c r="D50" s="29">
        <v>0</v>
      </c>
      <c r="E50" s="29">
        <v>5.3</v>
      </c>
      <c r="F50" s="29">
        <v>1.1000000000000001</v>
      </c>
    </row>
    <row r="51" spans="1:11" x14ac:dyDescent="0.25">
      <c r="A51" s="4" t="s">
        <v>177</v>
      </c>
      <c r="B51" s="4">
        <v>22.1</v>
      </c>
      <c r="C51" s="11" t="s">
        <v>180</v>
      </c>
      <c r="D51" s="4">
        <v>95</v>
      </c>
      <c r="E51" s="4">
        <v>0.08</v>
      </c>
      <c r="F51" s="4">
        <v>0.2</v>
      </c>
    </row>
    <row r="52" spans="1:11" ht="31.5" customHeight="1" x14ac:dyDescent="0.25">
      <c r="A52" s="212" t="s">
        <v>181</v>
      </c>
      <c r="B52" s="212"/>
      <c r="C52" s="212"/>
      <c r="D52" s="212"/>
      <c r="E52" s="212"/>
      <c r="F52" s="212"/>
    </row>
    <row r="54" spans="1:11" ht="15.75" x14ac:dyDescent="0.25">
      <c r="A54" s="7" t="s">
        <v>392</v>
      </c>
    </row>
    <row r="56" spans="1:11" x14ac:dyDescent="0.25">
      <c r="A56" s="97" t="s">
        <v>393</v>
      </c>
      <c r="G56" s="97" t="s">
        <v>369</v>
      </c>
    </row>
    <row r="57" spans="1:11" x14ac:dyDescent="0.25">
      <c r="A57" s="8" t="s">
        <v>362</v>
      </c>
      <c r="B57" s="8" t="s">
        <v>346</v>
      </c>
      <c r="C57" s="8" t="s">
        <v>347</v>
      </c>
      <c r="D57" s="6" t="s">
        <v>363</v>
      </c>
      <c r="G57" s="8" t="s">
        <v>362</v>
      </c>
      <c r="H57" s="221" t="s">
        <v>366</v>
      </c>
      <c r="I57" s="221"/>
      <c r="J57" s="221"/>
      <c r="K57" s="221"/>
    </row>
    <row r="58" spans="1:11" x14ac:dyDescent="0.25">
      <c r="A58" s="8" t="s">
        <v>348</v>
      </c>
      <c r="B58" s="6" t="s">
        <v>349</v>
      </c>
      <c r="C58" s="6" t="s">
        <v>350</v>
      </c>
      <c r="D58" s="6" t="s">
        <v>364</v>
      </c>
      <c r="G58" s="8" t="s">
        <v>348</v>
      </c>
      <c r="H58" s="6" t="s">
        <v>367</v>
      </c>
      <c r="I58" s="6" t="s">
        <v>368</v>
      </c>
      <c r="J58" s="6" t="s">
        <v>360</v>
      </c>
      <c r="K58" s="6" t="s">
        <v>361</v>
      </c>
    </row>
    <row r="59" spans="1:11" x14ac:dyDescent="0.25">
      <c r="A59" s="4" t="s">
        <v>351</v>
      </c>
      <c r="B59" s="4">
        <v>0.15</v>
      </c>
      <c r="C59" s="4">
        <v>0.84</v>
      </c>
      <c r="D59" s="4">
        <v>0.06</v>
      </c>
      <c r="G59" s="4" t="s">
        <v>351</v>
      </c>
      <c r="H59" s="96">
        <v>0.35</v>
      </c>
      <c r="I59" s="96">
        <v>0.40300000000000002</v>
      </c>
      <c r="J59" s="96">
        <v>0.215</v>
      </c>
      <c r="K59" s="96">
        <v>0</v>
      </c>
    </row>
    <row r="60" spans="1:11" x14ac:dyDescent="0.25">
      <c r="A60" s="4" t="s">
        <v>352</v>
      </c>
      <c r="B60" s="4">
        <v>0.4</v>
      </c>
      <c r="C60" s="4">
        <v>0.49</v>
      </c>
      <c r="D60" s="4">
        <v>0.04</v>
      </c>
      <c r="G60" s="4" t="s">
        <v>522</v>
      </c>
      <c r="H60" s="96">
        <v>0.13</v>
      </c>
      <c r="I60" s="96">
        <v>0.15</v>
      </c>
      <c r="J60" s="96">
        <v>0.155</v>
      </c>
      <c r="K60" s="96">
        <v>0.03</v>
      </c>
    </row>
    <row r="61" spans="1:11" x14ac:dyDescent="0.25">
      <c r="A61" s="4" t="s">
        <v>353</v>
      </c>
      <c r="B61" s="4">
        <v>0.2</v>
      </c>
      <c r="C61" s="4">
        <v>0.47</v>
      </c>
      <c r="D61" s="4">
        <v>0.05</v>
      </c>
      <c r="G61" s="4" t="s">
        <v>523</v>
      </c>
      <c r="H61" s="96">
        <v>0.16500000000000001</v>
      </c>
      <c r="I61" s="96">
        <v>3.9E-2</v>
      </c>
      <c r="J61" s="96">
        <v>0.04</v>
      </c>
      <c r="K61" s="96">
        <v>0.02</v>
      </c>
    </row>
    <row r="62" spans="1:11" x14ac:dyDescent="0.25">
      <c r="A62" s="4" t="s">
        <v>330</v>
      </c>
      <c r="B62" s="4">
        <v>0.43</v>
      </c>
      <c r="C62" s="4">
        <v>0.23</v>
      </c>
      <c r="D62" s="4">
        <v>0.02</v>
      </c>
      <c r="G62" s="4" t="s">
        <v>330</v>
      </c>
      <c r="H62" s="96">
        <v>0.01</v>
      </c>
      <c r="I62" s="96">
        <v>1.2E-2</v>
      </c>
      <c r="J62" s="96">
        <v>0.125</v>
      </c>
      <c r="K62" s="96">
        <v>0.06</v>
      </c>
    </row>
    <row r="63" spans="1:11" x14ac:dyDescent="0.25">
      <c r="A63" s="4" t="s">
        <v>354</v>
      </c>
      <c r="B63" s="4">
        <v>0.24</v>
      </c>
      <c r="C63" s="4">
        <v>0.5</v>
      </c>
      <c r="D63" s="4">
        <v>0.04</v>
      </c>
      <c r="G63" s="4" t="s">
        <v>354</v>
      </c>
      <c r="H63" s="96">
        <v>1.4999999999999999E-2</v>
      </c>
      <c r="I63" s="96">
        <v>1.7000000000000001E-2</v>
      </c>
      <c r="J63" s="96">
        <v>0.04</v>
      </c>
      <c r="K63" s="96">
        <v>0</v>
      </c>
    </row>
    <row r="64" spans="1:11" x14ac:dyDescent="0.25">
      <c r="A64" s="4" t="s">
        <v>355</v>
      </c>
      <c r="B64" s="4">
        <v>0.05</v>
      </c>
      <c r="C64" s="4">
        <v>0.5</v>
      </c>
      <c r="D64" s="4">
        <v>0.06</v>
      </c>
      <c r="G64" s="4" t="s">
        <v>355</v>
      </c>
      <c r="H64" s="96">
        <v>0</v>
      </c>
      <c r="I64" s="96">
        <v>0</v>
      </c>
      <c r="J64" s="96">
        <v>1.4999999999999999E-2</v>
      </c>
      <c r="K64" s="96">
        <v>0</v>
      </c>
    </row>
    <row r="65" spans="1:11" x14ac:dyDescent="0.25">
      <c r="A65" s="4" t="s">
        <v>356</v>
      </c>
      <c r="B65" s="4">
        <v>0.24</v>
      </c>
      <c r="C65" s="4">
        <v>0.5</v>
      </c>
      <c r="D65" s="4">
        <v>0.04</v>
      </c>
      <c r="G65" s="4" t="s">
        <v>356</v>
      </c>
      <c r="H65" s="96">
        <v>0.04</v>
      </c>
      <c r="I65" s="96">
        <v>4.5999999999999999E-2</v>
      </c>
      <c r="J65" s="96">
        <v>0</v>
      </c>
      <c r="K65" s="96">
        <v>0</v>
      </c>
    </row>
    <row r="66" spans="1:11" x14ac:dyDescent="0.25">
      <c r="A66" s="4" t="s">
        <v>357</v>
      </c>
      <c r="B66" s="4">
        <v>0.39</v>
      </c>
      <c r="C66" s="4">
        <v>0.5</v>
      </c>
      <c r="D66" s="4">
        <v>0.04</v>
      </c>
      <c r="G66" s="4" t="s">
        <v>524</v>
      </c>
      <c r="H66" s="96">
        <v>0.01</v>
      </c>
      <c r="I66" s="96">
        <v>1.2E-2</v>
      </c>
      <c r="J66" s="96">
        <v>3.5000000000000003E-2</v>
      </c>
      <c r="K66" s="96">
        <v>0</v>
      </c>
    </row>
    <row r="67" spans="1:11" x14ac:dyDescent="0.25">
      <c r="A67" s="4" t="s">
        <v>358</v>
      </c>
      <c r="B67" s="4">
        <v>0</v>
      </c>
      <c r="C67" s="4">
        <v>0</v>
      </c>
      <c r="D67" s="4">
        <v>0</v>
      </c>
      <c r="G67" s="4" t="s">
        <v>358</v>
      </c>
      <c r="H67" s="96">
        <v>0.28000000000000003</v>
      </c>
      <c r="I67" s="96">
        <v>0.32100000000000001</v>
      </c>
      <c r="J67" s="96">
        <v>0.375</v>
      </c>
      <c r="K67" s="96">
        <v>0.89</v>
      </c>
    </row>
    <row r="69" spans="1:11" x14ac:dyDescent="0.25">
      <c r="A69" s="8" t="s">
        <v>370</v>
      </c>
      <c r="B69" s="6" t="s">
        <v>371</v>
      </c>
      <c r="C69" s="221" t="s">
        <v>372</v>
      </c>
      <c r="D69" s="221"/>
      <c r="E69" s="39"/>
    </row>
    <row r="70" spans="1:11" x14ac:dyDescent="0.25">
      <c r="A70" s="4" t="s">
        <v>381</v>
      </c>
      <c r="B70" s="4">
        <v>0.5</v>
      </c>
      <c r="C70" s="224" t="s">
        <v>380</v>
      </c>
      <c r="D70" s="224"/>
      <c r="E70" s="39"/>
    </row>
    <row r="71" spans="1:11" x14ac:dyDescent="0.25">
      <c r="A71" s="4" t="s">
        <v>382</v>
      </c>
      <c r="B71" s="4">
        <v>0.1</v>
      </c>
      <c r="C71" s="224" t="s">
        <v>383</v>
      </c>
      <c r="D71" s="224"/>
      <c r="E71" s="39"/>
    </row>
    <row r="72" spans="1:11" x14ac:dyDescent="0.25">
      <c r="A72" s="4" t="s">
        <v>594</v>
      </c>
      <c r="B72" s="88">
        <f>1.336</f>
        <v>1.3360000000000001</v>
      </c>
      <c r="C72" s="222" t="s">
        <v>595</v>
      </c>
      <c r="D72" s="223"/>
      <c r="E72" s="39"/>
    </row>
    <row r="74" spans="1:11" x14ac:dyDescent="0.25">
      <c r="A74" s="3" t="s">
        <v>365</v>
      </c>
    </row>
    <row r="75" spans="1:11" x14ac:dyDescent="0.25">
      <c r="A75" s="8" t="s">
        <v>373</v>
      </c>
      <c r="B75" s="6" t="s">
        <v>359</v>
      </c>
      <c r="C75" s="6" t="s">
        <v>360</v>
      </c>
      <c r="D75" s="6" t="s">
        <v>361</v>
      </c>
    </row>
    <row r="76" spans="1:11" x14ac:dyDescent="0.25">
      <c r="A76" s="4" t="s">
        <v>374</v>
      </c>
      <c r="B76" s="95">
        <v>0.56999999999999995</v>
      </c>
      <c r="C76" s="95">
        <v>0.33</v>
      </c>
      <c r="D76" s="95">
        <v>0.1</v>
      </c>
    </row>
    <row r="78" spans="1:11" x14ac:dyDescent="0.25">
      <c r="A78" s="3" t="s">
        <v>195</v>
      </c>
    </row>
    <row r="79" spans="1:11" ht="30" x14ac:dyDescent="0.25">
      <c r="A79" s="8" t="s">
        <v>192</v>
      </c>
      <c r="B79" s="19" t="s">
        <v>375</v>
      </c>
    </row>
    <row r="80" spans="1:11" x14ac:dyDescent="0.25">
      <c r="A80" s="8" t="s">
        <v>142</v>
      </c>
      <c r="B80" s="19"/>
    </row>
    <row r="81" spans="1:2" x14ac:dyDescent="0.25">
      <c r="A81" s="4" t="s">
        <v>376</v>
      </c>
      <c r="B81" s="4">
        <v>2.1000000000000001E-2</v>
      </c>
    </row>
    <row r="82" spans="1:2" x14ac:dyDescent="0.25">
      <c r="A82" s="4" t="s">
        <v>377</v>
      </c>
      <c r="B82" s="4">
        <v>2.5000000000000001E-2</v>
      </c>
    </row>
    <row r="83" spans="1:2" x14ac:dyDescent="0.25">
      <c r="A83" s="8" t="s">
        <v>498</v>
      </c>
      <c r="B83" s="19"/>
    </row>
    <row r="84" spans="1:2" x14ac:dyDescent="0.25">
      <c r="A84" s="4" t="s">
        <v>376</v>
      </c>
      <c r="B84" s="4">
        <v>2.8000000000000001E-2</v>
      </c>
    </row>
    <row r="85" spans="1:2" x14ac:dyDescent="0.25">
      <c r="A85" s="4" t="s">
        <v>377</v>
      </c>
      <c r="B85" s="88">
        <v>0</v>
      </c>
    </row>
  </sheetData>
  <sheetProtection algorithmName="SHA-512" hashValue="13dUimfqcc+BS52YJD9ehmqxuUyZs7gSC6Vom9MQftpunfi7ZkPDRnvwqllHHY2NeepVkHmUfqR9KQqoxgzJrA==" saltValue="JFJFA/8w37HLX0/hmc3+6A==" spinCount="100000" sheet="1" objects="1" scenarios="1" selectLockedCells="1" selectUnlockedCells="1"/>
  <mergeCells count="12">
    <mergeCell ref="C72:D72"/>
    <mergeCell ref="C69:D69"/>
    <mergeCell ref="C70:D70"/>
    <mergeCell ref="C71:D71"/>
    <mergeCell ref="A10:L10"/>
    <mergeCell ref="A3:M3"/>
    <mergeCell ref="A4:L4"/>
    <mergeCell ref="D24:F24"/>
    <mergeCell ref="A52:F52"/>
    <mergeCell ref="H57:K57"/>
    <mergeCell ref="A6:L6"/>
    <mergeCell ref="E9:L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0B0D5-39D5-4520-BB1F-DC6BD5DC668E}">
  <dimension ref="A1:S88"/>
  <sheetViews>
    <sheetView tabSelected="1" zoomScale="80" zoomScaleNormal="80" workbookViewId="0">
      <selection activeCell="A4" sqref="A4"/>
    </sheetView>
  </sheetViews>
  <sheetFormatPr defaultRowHeight="15" x14ac:dyDescent="0.25"/>
  <cols>
    <col min="1" max="1" width="51.5703125" customWidth="1"/>
    <col min="2" max="2" width="17.7109375" style="184" customWidth="1"/>
    <col min="3" max="3" width="16.85546875" customWidth="1"/>
    <col min="5" max="16" width="7.140625" customWidth="1"/>
  </cols>
  <sheetData>
    <row r="1" spans="1:4" ht="18.75" x14ac:dyDescent="0.3">
      <c r="A1" s="1" t="s">
        <v>644</v>
      </c>
    </row>
    <row r="3" spans="1:4" x14ac:dyDescent="0.25">
      <c r="A3" s="176" t="s">
        <v>254</v>
      </c>
      <c r="B3" s="185"/>
      <c r="C3" s="177"/>
    </row>
    <row r="5" spans="1:4" x14ac:dyDescent="0.25">
      <c r="A5" s="8" t="s">
        <v>197</v>
      </c>
      <c r="B5" s="186"/>
    </row>
    <row r="7" spans="1:4" x14ac:dyDescent="0.25">
      <c r="A7" s="3" t="s">
        <v>630</v>
      </c>
    </row>
    <row r="8" spans="1:4" x14ac:dyDescent="0.25">
      <c r="A8" s="4" t="s">
        <v>631</v>
      </c>
      <c r="B8" s="187"/>
      <c r="C8" s="4" t="s">
        <v>21</v>
      </c>
      <c r="D8" t="s">
        <v>645</v>
      </c>
    </row>
    <row r="10" spans="1:4" x14ac:dyDescent="0.25">
      <c r="A10" s="3" t="s">
        <v>646</v>
      </c>
    </row>
    <row r="11" spans="1:4" x14ac:dyDescent="0.25">
      <c r="A11" t="s">
        <v>647</v>
      </c>
    </row>
    <row r="12" spans="1:4" x14ac:dyDescent="0.25">
      <c r="A12" s="8" t="s">
        <v>247</v>
      </c>
      <c r="B12" s="188" t="s">
        <v>556</v>
      </c>
    </row>
    <row r="13" spans="1:4" x14ac:dyDescent="0.25">
      <c r="A13" s="4" t="s">
        <v>41</v>
      </c>
      <c r="B13" s="187"/>
    </row>
    <row r="14" spans="1:4" x14ac:dyDescent="0.25">
      <c r="A14" s="4" t="s">
        <v>61</v>
      </c>
      <c r="B14" s="187"/>
    </row>
    <row r="15" spans="1:4" x14ac:dyDescent="0.25">
      <c r="A15" s="4" t="s">
        <v>50</v>
      </c>
      <c r="B15" s="187"/>
    </row>
    <row r="16" spans="1:4" x14ac:dyDescent="0.25">
      <c r="A16" s="4" t="s">
        <v>51</v>
      </c>
      <c r="B16" s="187"/>
    </row>
    <row r="17" spans="1:2" x14ac:dyDescent="0.25">
      <c r="A17" s="4" t="s">
        <v>52</v>
      </c>
      <c r="B17" s="187"/>
    </row>
    <row r="18" spans="1:2" x14ac:dyDescent="0.25">
      <c r="A18" s="4" t="s">
        <v>53</v>
      </c>
      <c r="B18" s="187"/>
    </row>
    <row r="19" spans="1:2" x14ac:dyDescent="0.25">
      <c r="A19" s="4" t="s">
        <v>54</v>
      </c>
      <c r="B19" s="187"/>
    </row>
    <row r="20" spans="1:2" x14ac:dyDescent="0.25">
      <c r="A20" s="4" t="s">
        <v>56</v>
      </c>
      <c r="B20" s="187"/>
    </row>
    <row r="21" spans="1:2" x14ac:dyDescent="0.25">
      <c r="A21" s="4" t="s">
        <v>57</v>
      </c>
      <c r="B21" s="187"/>
    </row>
    <row r="22" spans="1:2" x14ac:dyDescent="0.25">
      <c r="A22" s="4" t="s">
        <v>44</v>
      </c>
      <c r="B22" s="187"/>
    </row>
    <row r="23" spans="1:2" x14ac:dyDescent="0.25">
      <c r="A23" s="4" t="s">
        <v>48</v>
      </c>
      <c r="B23" s="187"/>
    </row>
    <row r="24" spans="1:2" x14ac:dyDescent="0.25">
      <c r="A24" s="4" t="s">
        <v>47</v>
      </c>
      <c r="B24" s="187"/>
    </row>
    <row r="25" spans="1:2" x14ac:dyDescent="0.25">
      <c r="A25" s="4" t="s">
        <v>59</v>
      </c>
      <c r="B25" s="187"/>
    </row>
    <row r="26" spans="1:2" x14ac:dyDescent="0.25">
      <c r="A26" s="4" t="s">
        <v>58</v>
      </c>
      <c r="B26" s="187"/>
    </row>
    <row r="27" spans="1:2" x14ac:dyDescent="0.25">
      <c r="A27" s="4" t="s">
        <v>60</v>
      </c>
      <c r="B27" s="187"/>
    </row>
    <row r="28" spans="1:2" x14ac:dyDescent="0.25">
      <c r="A28" s="4" t="s">
        <v>62</v>
      </c>
      <c r="B28" s="187"/>
    </row>
    <row r="29" spans="1:2" x14ac:dyDescent="0.25">
      <c r="A29" s="4" t="s">
        <v>49</v>
      </c>
      <c r="B29" s="187"/>
    </row>
    <row r="30" spans="1:2" x14ac:dyDescent="0.25">
      <c r="A30" s="4" t="s">
        <v>45</v>
      </c>
      <c r="B30" s="187"/>
    </row>
    <row r="31" spans="1:2" x14ac:dyDescent="0.25">
      <c r="A31" s="4" t="s">
        <v>46</v>
      </c>
      <c r="B31" s="187"/>
    </row>
    <row r="32" spans="1:2" x14ac:dyDescent="0.25">
      <c r="A32" s="4" t="s">
        <v>40</v>
      </c>
      <c r="B32" s="187"/>
    </row>
    <row r="33" spans="1:2" x14ac:dyDescent="0.25">
      <c r="A33" s="4" t="s">
        <v>43</v>
      </c>
      <c r="B33" s="187"/>
    </row>
    <row r="34" spans="1:2" x14ac:dyDescent="0.25">
      <c r="A34" s="4" t="s">
        <v>42</v>
      </c>
      <c r="B34" s="187"/>
    </row>
    <row r="35" spans="1:2" x14ac:dyDescent="0.25">
      <c r="A35" s="4" t="s">
        <v>557</v>
      </c>
      <c r="B35" s="187"/>
    </row>
    <row r="36" spans="1:2" x14ac:dyDescent="0.25">
      <c r="A36" s="4" t="s">
        <v>558</v>
      </c>
      <c r="B36" s="187"/>
    </row>
    <row r="37" spans="1:2" x14ac:dyDescent="0.25">
      <c r="A37" s="4" t="s">
        <v>55</v>
      </c>
      <c r="B37" s="187"/>
    </row>
    <row r="38" spans="1:2" x14ac:dyDescent="0.25">
      <c r="A38" s="4" t="s">
        <v>559</v>
      </c>
      <c r="B38" s="187"/>
    </row>
    <row r="39" spans="1:2" x14ac:dyDescent="0.25">
      <c r="A39" s="4" t="s">
        <v>560</v>
      </c>
      <c r="B39" s="187"/>
    </row>
    <row r="40" spans="1:2" x14ac:dyDescent="0.25">
      <c r="A40" s="4" t="s">
        <v>561</v>
      </c>
      <c r="B40" s="187"/>
    </row>
    <row r="41" spans="1:2" x14ac:dyDescent="0.25">
      <c r="A41" s="4" t="s">
        <v>65</v>
      </c>
      <c r="B41" s="187"/>
    </row>
    <row r="42" spans="1:2" x14ac:dyDescent="0.25">
      <c r="A42" s="4" t="s">
        <v>552</v>
      </c>
      <c r="B42" s="187"/>
    </row>
    <row r="43" spans="1:2" x14ac:dyDescent="0.25">
      <c r="A43" s="4" t="s">
        <v>562</v>
      </c>
      <c r="B43" s="187"/>
    </row>
    <row r="44" spans="1:2" x14ac:dyDescent="0.25">
      <c r="A44" s="4" t="s">
        <v>66</v>
      </c>
      <c r="B44" s="187"/>
    </row>
    <row r="45" spans="1:2" x14ac:dyDescent="0.25">
      <c r="A45" s="4" t="s">
        <v>563</v>
      </c>
      <c r="B45" s="187"/>
    </row>
    <row r="46" spans="1:2" x14ac:dyDescent="0.25">
      <c r="A46" s="4" t="s">
        <v>67</v>
      </c>
      <c r="B46" s="187"/>
    </row>
    <row r="47" spans="1:2" x14ac:dyDescent="0.25">
      <c r="A47" s="4" t="s">
        <v>564</v>
      </c>
      <c r="B47" s="187"/>
    </row>
    <row r="48" spans="1:2" x14ac:dyDescent="0.25">
      <c r="A48" s="4" t="s">
        <v>565</v>
      </c>
      <c r="B48" s="187"/>
    </row>
    <row r="49" spans="1:19" x14ac:dyDescent="0.25">
      <c r="A49" s="4" t="s">
        <v>64</v>
      </c>
      <c r="B49" s="187"/>
    </row>
    <row r="50" spans="1:19" x14ac:dyDescent="0.25">
      <c r="A50" s="4" t="s">
        <v>566</v>
      </c>
      <c r="B50" s="187"/>
    </row>
    <row r="51" spans="1:19" x14ac:dyDescent="0.25">
      <c r="A51" s="4" t="s">
        <v>63</v>
      </c>
      <c r="B51" s="187"/>
    </row>
    <row r="52" spans="1:19" x14ac:dyDescent="0.25">
      <c r="A52" s="4" t="s">
        <v>567</v>
      </c>
      <c r="B52" s="187"/>
    </row>
    <row r="53" spans="1:19" x14ac:dyDescent="0.25">
      <c r="A53" s="4" t="s">
        <v>550</v>
      </c>
      <c r="B53" s="187"/>
    </row>
    <row r="54" spans="1:19" x14ac:dyDescent="0.25">
      <c r="A54" s="4" t="s">
        <v>551</v>
      </c>
      <c r="B54" s="187"/>
    </row>
    <row r="56" spans="1:19" x14ac:dyDescent="0.25">
      <c r="A56" s="3" t="s">
        <v>632</v>
      </c>
    </row>
    <row r="57" spans="1:19" x14ac:dyDescent="0.25">
      <c r="A57" t="s">
        <v>648</v>
      </c>
    </row>
    <row r="58" spans="1:19" x14ac:dyDescent="0.25">
      <c r="A58" s="4" t="s">
        <v>633</v>
      </c>
      <c r="B58" s="187"/>
      <c r="C58" s="4" t="s">
        <v>634</v>
      </c>
      <c r="E58" t="s">
        <v>660</v>
      </c>
      <c r="Q58" s="123"/>
      <c r="R58" s="123"/>
      <c r="S58" s="123"/>
    </row>
    <row r="59" spans="1:19" x14ac:dyDescent="0.25">
      <c r="A59" s="4" t="s">
        <v>635</v>
      </c>
      <c r="B59" s="187"/>
      <c r="C59" s="4" t="s">
        <v>21</v>
      </c>
      <c r="E59" s="11" t="str">
        <f>'Factors and Tables'!B34</f>
        <v>Jul</v>
      </c>
      <c r="F59" s="11" t="str">
        <f>'Factors and Tables'!C34</f>
        <v>Aug</v>
      </c>
      <c r="G59" s="11" t="str">
        <f>'Factors and Tables'!D34</f>
        <v>Sep</v>
      </c>
      <c r="H59" s="11" t="str">
        <f>'Factors and Tables'!E34</f>
        <v>Oct</v>
      </c>
      <c r="I59" s="11" t="str">
        <f>'Factors and Tables'!F34</f>
        <v>Nov</v>
      </c>
      <c r="J59" s="11" t="str">
        <f>'Factors and Tables'!G34</f>
        <v>Dec</v>
      </c>
      <c r="K59" s="11" t="str">
        <f>'Factors and Tables'!H34</f>
        <v>Jan</v>
      </c>
      <c r="L59" s="11" t="str">
        <f>'Factors and Tables'!I34</f>
        <v>Feb</v>
      </c>
      <c r="M59" s="11" t="str">
        <f>'Factors and Tables'!J34</f>
        <v>Mar</v>
      </c>
      <c r="N59" s="11" t="str">
        <f>'Factors and Tables'!K34</f>
        <v>Apr</v>
      </c>
      <c r="O59" s="11" t="str">
        <f>'Factors and Tables'!L34</f>
        <v>May</v>
      </c>
      <c r="P59" s="11" t="str">
        <f>'Factors and Tables'!M34</f>
        <v>Jun</v>
      </c>
      <c r="Q59" s="91"/>
      <c r="R59" s="91"/>
      <c r="S59" s="91"/>
    </row>
    <row r="60" spans="1:19" x14ac:dyDescent="0.25">
      <c r="A60" s="4" t="s">
        <v>636</v>
      </c>
      <c r="B60" s="187"/>
      <c r="C60" s="4" t="s">
        <v>21</v>
      </c>
      <c r="E60" s="88">
        <f>'Factors and Tables'!B36</f>
        <v>0.97904327566305238</v>
      </c>
      <c r="F60" s="88">
        <f>'Factors and Tables'!C36</f>
        <v>0.9297426456699851</v>
      </c>
      <c r="G60" s="88">
        <f>'Factors and Tables'!D36</f>
        <v>0.85970006731395909</v>
      </c>
      <c r="H60" s="88">
        <f>'Factors and Tables'!E36</f>
        <v>0.76930304778711234</v>
      </c>
      <c r="I60" s="88">
        <f>'Factors and Tables'!F36</f>
        <v>0.66332256996951255</v>
      </c>
      <c r="J60" s="88">
        <f>'Factors and Tables'!G36</f>
        <v>0.54262869493108434</v>
      </c>
      <c r="K60" s="88">
        <f>'Factors and Tables'!H36</f>
        <v>0.41251083697093105</v>
      </c>
      <c r="L60" s="88">
        <f>'Factors and Tables'!I36</f>
        <v>0.29354970355273674</v>
      </c>
      <c r="M60" s="88">
        <f>'Factors and Tables'!J36</f>
        <v>0.19530269764767788</v>
      </c>
      <c r="N60" s="88">
        <f>'Factors and Tables'!K36</f>
        <v>0.1144325076952338</v>
      </c>
      <c r="O60" s="88">
        <f>'Factors and Tables'!L36</f>
        <v>5.6138355326619004E-2</v>
      </c>
      <c r="P60" s="88">
        <f>'Factors and Tables'!M36</f>
        <v>2.3415948815419835E-2</v>
      </c>
    </row>
    <row r="62" spans="1:19" x14ac:dyDescent="0.25">
      <c r="A62" s="3" t="s">
        <v>649</v>
      </c>
    </row>
    <row r="63" spans="1:19" x14ac:dyDescent="0.25">
      <c r="A63" s="4" t="s">
        <v>94</v>
      </c>
      <c r="B63" s="187"/>
      <c r="C63" s="47" t="s">
        <v>325</v>
      </c>
      <c r="D63" t="s">
        <v>637</v>
      </c>
    </row>
    <row r="64" spans="1:19" x14ac:dyDescent="0.25">
      <c r="A64" s="4" t="s">
        <v>328</v>
      </c>
      <c r="B64" s="187"/>
      <c r="C64" s="47" t="s">
        <v>326</v>
      </c>
    </row>
    <row r="65" spans="1:3" x14ac:dyDescent="0.25">
      <c r="A65" s="4" t="s">
        <v>329</v>
      </c>
      <c r="B65" s="187"/>
      <c r="C65" s="47" t="s">
        <v>325</v>
      </c>
    </row>
    <row r="66" spans="1:3" x14ac:dyDescent="0.25">
      <c r="A66" s="4" t="s">
        <v>91</v>
      </c>
      <c r="B66" s="187"/>
      <c r="C66" s="47" t="s">
        <v>325</v>
      </c>
    </row>
    <row r="67" spans="1:3" x14ac:dyDescent="0.25">
      <c r="A67" s="4" t="s">
        <v>330</v>
      </c>
      <c r="B67" s="187"/>
      <c r="C67" s="47" t="s">
        <v>327</v>
      </c>
    </row>
    <row r="69" spans="1:3" x14ac:dyDescent="0.25">
      <c r="A69" s="3" t="s">
        <v>638</v>
      </c>
    </row>
    <row r="70" spans="1:3" x14ac:dyDescent="0.25">
      <c r="A70" s="4" t="s">
        <v>639</v>
      </c>
      <c r="B70" s="187"/>
      <c r="C70" s="47" t="s">
        <v>325</v>
      </c>
    </row>
    <row r="71" spans="1:3" x14ac:dyDescent="0.25">
      <c r="A71" s="4" t="s">
        <v>640</v>
      </c>
      <c r="B71" s="187"/>
      <c r="C71" s="47" t="s">
        <v>325</v>
      </c>
    </row>
    <row r="72" spans="1:3" x14ac:dyDescent="0.25">
      <c r="A72" s="4" t="s">
        <v>641</v>
      </c>
      <c r="B72" s="187"/>
      <c r="C72" s="47" t="s">
        <v>325</v>
      </c>
    </row>
    <row r="73" spans="1:3" x14ac:dyDescent="0.25">
      <c r="A73" s="4" t="s">
        <v>642</v>
      </c>
      <c r="B73" s="187"/>
      <c r="C73" s="47" t="s">
        <v>325</v>
      </c>
    </row>
    <row r="74" spans="1:3" x14ac:dyDescent="0.25">
      <c r="A74" s="4" t="s">
        <v>661</v>
      </c>
      <c r="B74" s="187"/>
      <c r="C74" s="47" t="s">
        <v>326</v>
      </c>
    </row>
    <row r="75" spans="1:3" x14ac:dyDescent="0.25">
      <c r="A75" s="4" t="s">
        <v>643</v>
      </c>
      <c r="B75" s="187"/>
      <c r="C75" s="47" t="s">
        <v>21</v>
      </c>
    </row>
    <row r="77" spans="1:3" x14ac:dyDescent="0.25">
      <c r="A77" s="3" t="s">
        <v>8</v>
      </c>
    </row>
    <row r="78" spans="1:3" x14ac:dyDescent="0.25">
      <c r="A78" s="8" t="s">
        <v>145</v>
      </c>
      <c r="B78" s="188" t="s">
        <v>146</v>
      </c>
      <c r="C78" s="6" t="s">
        <v>100</v>
      </c>
    </row>
    <row r="79" spans="1:3" x14ac:dyDescent="0.25">
      <c r="A79" s="4" t="s">
        <v>585</v>
      </c>
      <c r="B79" s="189"/>
      <c r="C79" s="4"/>
    </row>
    <row r="80" spans="1:3" x14ac:dyDescent="0.25">
      <c r="A80" s="4" t="s">
        <v>584</v>
      </c>
      <c r="B80" s="187"/>
      <c r="C80" s="4" t="s">
        <v>160</v>
      </c>
    </row>
    <row r="81" spans="1:3" x14ac:dyDescent="0.25">
      <c r="A81" s="4" t="s">
        <v>587</v>
      </c>
      <c r="B81" s="189"/>
      <c r="C81" s="4"/>
    </row>
    <row r="82" spans="1:3" x14ac:dyDescent="0.25">
      <c r="A82" s="4" t="s">
        <v>586</v>
      </c>
      <c r="B82" s="187"/>
      <c r="C82" s="4" t="s">
        <v>160</v>
      </c>
    </row>
    <row r="83" spans="1:3" ht="30" x14ac:dyDescent="0.25">
      <c r="A83" s="82" t="s">
        <v>608</v>
      </c>
      <c r="B83" s="187"/>
      <c r="C83" s="4" t="s">
        <v>160</v>
      </c>
    </row>
    <row r="84" spans="1:3" ht="30" x14ac:dyDescent="0.25">
      <c r="A84" s="82" t="s">
        <v>609</v>
      </c>
      <c r="B84" s="187"/>
      <c r="C84" s="4" t="s">
        <v>160</v>
      </c>
    </row>
    <row r="85" spans="1:3" x14ac:dyDescent="0.25">
      <c r="A85" s="4" t="s">
        <v>606</v>
      </c>
      <c r="B85" s="187"/>
      <c r="C85" s="4" t="s">
        <v>160</v>
      </c>
    </row>
    <row r="86" spans="1:3" x14ac:dyDescent="0.25">
      <c r="A86" s="4" t="s">
        <v>607</v>
      </c>
      <c r="B86" s="187"/>
      <c r="C86" s="4"/>
    </row>
    <row r="87" spans="1:3" x14ac:dyDescent="0.25">
      <c r="A87" s="4" t="s">
        <v>413</v>
      </c>
      <c r="B87" s="187"/>
      <c r="C87" s="4" t="s">
        <v>160</v>
      </c>
    </row>
    <row r="88" spans="1:3" x14ac:dyDescent="0.25">
      <c r="A88" s="4" t="s">
        <v>506</v>
      </c>
      <c r="B88" s="187"/>
      <c r="C88" s="4"/>
    </row>
  </sheetData>
  <sheetProtection algorithmName="SHA-512" hashValue="BAQ1ebn2RTAMw6ct3gvFvKGU5Rpn7ogf4/FRDqlroQE6VV0qBnbohbNsEISCO8SCnUUjwiOZioM3tGljRJPFLA==" saltValue="Cg7ZzjE9MvG91aSHZq2cHw==" spinCount="100000" sheet="1" objects="1" scenarios="1"/>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FC8DD566-B5D1-4400-B10E-47D930F2037B}">
          <x14:formula1>
            <xm:f>'Factors and Tables'!$H$16:$H$27</xm:f>
          </x14:formula1>
          <xm:sqref>B3</xm:sqref>
        </x14:dataValidation>
        <x14:dataValidation type="list" allowBlank="1" showInputMessage="1" showErrorMessage="1" xr:uid="{EC34F7E6-D930-47C1-BFC6-EFF0037BF592}">
          <x14:formula1>
            <xm:f>'Factors and Tables'!$B$5:$R$5</xm:f>
          </x14:formula1>
          <xm:sqref>B5</xm:sqref>
        </x14:dataValidation>
        <x14:dataValidation type="list" allowBlank="1" showInputMessage="1" showErrorMessage="1" xr:uid="{7AA96453-19E2-47B9-89BA-095ADC7374F1}">
          <x14:formula1>
            <xm:f>'Factors and Tables'!$H$147:$H$149</xm:f>
          </x14:formula1>
          <xm:sqref>B86</xm:sqref>
        </x14:dataValidation>
        <x14:dataValidation type="list" allowBlank="1" showInputMessage="1" showErrorMessage="1" xr:uid="{DB1EC453-1D89-447B-8FC0-1CAF5963B996}">
          <x14:formula1>
            <xm:f>'Factors and Tables'!$H$147:$H$148</xm:f>
          </x14:formula1>
          <xm:sqref>B88</xm:sqref>
        </x14:dataValidation>
        <x14:dataValidation type="list" allowBlank="1" showInputMessage="1" showErrorMessage="1" xr:uid="{F4E20DAE-FDF9-4B26-BEF4-74C0550B2864}">
          <x14:formula1>
            <xm:f>'Factors and Tables'!$H$140:$H$144</xm:f>
          </x14:formula1>
          <xm:sqref>B79 B81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B3063-2CA4-4A63-8646-EDCD4813E319}">
  <dimension ref="A1:O51"/>
  <sheetViews>
    <sheetView zoomScale="80" zoomScaleNormal="80" workbookViewId="0">
      <selection activeCell="F35" sqref="F35"/>
    </sheetView>
  </sheetViews>
  <sheetFormatPr defaultRowHeight="15" x14ac:dyDescent="0.25"/>
  <cols>
    <col min="1" max="1" width="36.42578125" customWidth="1"/>
    <col min="2" max="2" width="30.140625" customWidth="1"/>
    <col min="3" max="3" width="24.140625" customWidth="1"/>
    <col min="4" max="4" width="23.28515625" customWidth="1"/>
    <col min="5" max="5" width="24.28515625" customWidth="1"/>
    <col min="6" max="6" width="15.42578125" customWidth="1"/>
    <col min="7" max="7" width="13.7109375" bestFit="1" customWidth="1"/>
    <col min="8" max="8" width="13.28515625" bestFit="1" customWidth="1"/>
    <col min="16" max="16" width="12.28515625" customWidth="1"/>
  </cols>
  <sheetData>
    <row r="1" spans="1:15" ht="18.75" x14ac:dyDescent="0.3">
      <c r="A1" s="1" t="str">
        <f>_xlfn.CONCAT(B7," - Greenhouse Gas and Energy Inventories - ",B9)</f>
        <v xml:space="preserve"> - Greenhouse Gas and Energy Inventories - </v>
      </c>
    </row>
    <row r="3" spans="1:15" ht="31.5" customHeight="1" x14ac:dyDescent="0.25">
      <c r="A3" s="190" t="s">
        <v>206</v>
      </c>
      <c r="B3" s="190"/>
      <c r="C3" s="190"/>
      <c r="D3" s="190"/>
      <c r="E3" s="190"/>
    </row>
    <row r="5" spans="1:15" ht="33" customHeight="1" x14ac:dyDescent="0.25">
      <c r="A5" s="197" t="s">
        <v>255</v>
      </c>
      <c r="B5" s="197"/>
      <c r="C5" s="197"/>
      <c r="D5" s="197"/>
      <c r="E5" s="197"/>
      <c r="F5" s="39"/>
      <c r="G5" s="39"/>
      <c r="H5" s="39"/>
      <c r="I5" s="39"/>
      <c r="J5" s="39"/>
      <c r="K5" s="39"/>
      <c r="L5" s="39"/>
      <c r="M5" s="2"/>
      <c r="N5" s="2"/>
      <c r="O5" s="2"/>
    </row>
    <row r="6" spans="1:15" ht="16.5" customHeight="1" x14ac:dyDescent="0.25">
      <c r="A6" s="39"/>
      <c r="B6" s="39"/>
      <c r="C6" s="39"/>
      <c r="D6" s="39"/>
      <c r="E6" s="39"/>
      <c r="F6" s="39"/>
      <c r="G6" s="39"/>
      <c r="H6" s="39"/>
      <c r="I6" s="39"/>
      <c r="J6" s="39"/>
      <c r="K6" s="39"/>
      <c r="L6" s="39"/>
      <c r="M6" s="2"/>
      <c r="N6" s="2"/>
      <c r="O6" s="2"/>
    </row>
    <row r="7" spans="1:15" ht="16.5" customHeight="1" x14ac:dyDescent="0.25">
      <c r="A7" s="176" t="s">
        <v>254</v>
      </c>
      <c r="B7" s="178" t="str">
        <f>IF('Data Input'!B3=0,"",'Data Input'!B3)</f>
        <v/>
      </c>
      <c r="C7" s="179"/>
      <c r="D7" s="39"/>
      <c r="E7" s="39"/>
      <c r="F7" s="39"/>
      <c r="G7" s="39"/>
      <c r="H7" s="39"/>
      <c r="I7" s="39"/>
      <c r="J7" s="39"/>
      <c r="K7" s="39"/>
      <c r="L7" s="39"/>
      <c r="M7" s="2"/>
      <c r="N7" s="2"/>
      <c r="O7" s="2"/>
    </row>
    <row r="9" spans="1:15" x14ac:dyDescent="0.25">
      <c r="A9" s="8" t="s">
        <v>197</v>
      </c>
      <c r="B9" s="180" t="str">
        <f>IF('Data Input'!B5=0,"",'Data Input'!B5)</f>
        <v/>
      </c>
    </row>
    <row r="10" spans="1:15" x14ac:dyDescent="0.25">
      <c r="A10" s="3"/>
      <c r="B10" s="143"/>
    </row>
    <row r="11" spans="1:15" ht="15.75" x14ac:dyDescent="0.25">
      <c r="A11" s="4"/>
      <c r="B11" s="145" t="s">
        <v>542</v>
      </c>
      <c r="C11" s="145" t="s">
        <v>541</v>
      </c>
    </row>
    <row r="12" spans="1:15" ht="15.75" x14ac:dyDescent="0.25">
      <c r="A12" s="51" t="s">
        <v>540</v>
      </c>
      <c r="B12" s="144" t="str">
        <f>IFERROR(E20+SUM(E33:E39)+D42,"")</f>
        <v/>
      </c>
      <c r="C12" s="144" t="str">
        <f>IFERROR(E21+SUM(E33:E39)+D42,"")</f>
        <v/>
      </c>
      <c r="E12" s="141"/>
      <c r="F12" s="141"/>
      <c r="G12" s="122"/>
    </row>
    <row r="13" spans="1:15" ht="15.75" x14ac:dyDescent="0.25">
      <c r="A13" s="51" t="s">
        <v>495</v>
      </c>
      <c r="B13" s="84">
        <f>D20+SUM(D33:D39)</f>
        <v>0</v>
      </c>
      <c r="C13" s="84">
        <f>D21+SUM(D33:D39)</f>
        <v>0</v>
      </c>
    </row>
    <row r="14" spans="1:15" ht="15.75" x14ac:dyDescent="0.25">
      <c r="A14" s="7"/>
      <c r="B14" s="169"/>
      <c r="C14" s="169"/>
    </row>
    <row r="15" spans="1:15" ht="15.75" x14ac:dyDescent="0.25">
      <c r="A15" s="51" t="s">
        <v>611</v>
      </c>
      <c r="B15" s="170" t="s">
        <v>612</v>
      </c>
      <c r="C15" s="170" t="s">
        <v>613</v>
      </c>
      <c r="D15" s="6" t="s">
        <v>614</v>
      </c>
      <c r="E15" s="6" t="s">
        <v>96</v>
      </c>
      <c r="F15" s="6" t="s">
        <v>615</v>
      </c>
      <c r="G15" s="6" t="s">
        <v>535</v>
      </c>
    </row>
    <row r="16" spans="1:15" ht="15.75" x14ac:dyDescent="0.25">
      <c r="A16" s="51" t="s">
        <v>135</v>
      </c>
      <c r="B16" s="43">
        <f>D43</f>
        <v>0</v>
      </c>
      <c r="C16" s="43">
        <f>SUM(D44:D45)</f>
        <v>0</v>
      </c>
      <c r="D16" s="57">
        <f>Fuel!E56</f>
        <v>0</v>
      </c>
      <c r="E16" s="57" t="str">
        <f>E20</f>
        <v/>
      </c>
      <c r="F16" s="57">
        <f>Fuel!F21</f>
        <v>0</v>
      </c>
      <c r="G16" s="57" t="str">
        <f>B12</f>
        <v/>
      </c>
    </row>
    <row r="17" spans="1:7" ht="15.75" x14ac:dyDescent="0.25">
      <c r="A17" s="51" t="s">
        <v>616</v>
      </c>
      <c r="B17" s="181"/>
      <c r="C17" s="181"/>
      <c r="D17" s="9">
        <f>Fuel!D56</f>
        <v>0</v>
      </c>
      <c r="E17" s="9">
        <f>D20</f>
        <v>0</v>
      </c>
      <c r="F17" s="9">
        <f>Fuel!E21</f>
        <v>0</v>
      </c>
      <c r="G17" s="9">
        <f>B13</f>
        <v>0</v>
      </c>
    </row>
    <row r="18" spans="1:7" ht="15.75" x14ac:dyDescent="0.25">
      <c r="A18" s="7"/>
      <c r="B18" s="169"/>
      <c r="C18" s="169"/>
    </row>
    <row r="19" spans="1:7" x14ac:dyDescent="0.25">
      <c r="A19" s="8" t="s">
        <v>96</v>
      </c>
      <c r="B19" s="6" t="s">
        <v>534</v>
      </c>
      <c r="C19" s="6" t="s">
        <v>198</v>
      </c>
      <c r="D19" s="6" t="s">
        <v>199</v>
      </c>
      <c r="E19" s="6" t="s">
        <v>99</v>
      </c>
      <c r="G19" s="55"/>
    </row>
    <row r="20" spans="1:7" x14ac:dyDescent="0.25">
      <c r="A20" s="58" t="s">
        <v>496</v>
      </c>
      <c r="B20" s="58" t="s">
        <v>535</v>
      </c>
      <c r="C20" s="159">
        <f>SUM(C22:C23)-C26+C27</f>
        <v>0</v>
      </c>
      <c r="D20" s="159">
        <f>SUM(D22:D23)-D26+D27</f>
        <v>0</v>
      </c>
      <c r="E20" s="182" t="str">
        <f>IFERROR(SUM(E22:E23)-E26+E27,"")</f>
        <v/>
      </c>
    </row>
    <row r="21" spans="1:7" x14ac:dyDescent="0.25">
      <c r="A21" s="58" t="s">
        <v>497</v>
      </c>
      <c r="B21" s="58" t="s">
        <v>535</v>
      </c>
      <c r="C21" s="159">
        <f>SUM(C22:C23)+C25+C27</f>
        <v>0</v>
      </c>
      <c r="D21" s="159">
        <f>SUM(D22:D23)+D25+D27</f>
        <v>0</v>
      </c>
      <c r="E21" s="161" t="str">
        <f>IFERROR(SUM(E22:E23)+E24-E26+E27,"")</f>
        <v/>
      </c>
    </row>
    <row r="22" spans="1:7" x14ac:dyDescent="0.25">
      <c r="A22" s="4"/>
      <c r="B22" s="4" t="str">
        <f>"- Metered Electricity"</f>
        <v>- Metered Electricity</v>
      </c>
      <c r="C22" s="160">
        <f>IF('Metered Electricity'!B3="Select data input method at B13","",'Metered Electricity'!B3)</f>
        <v>0</v>
      </c>
      <c r="D22" s="160">
        <f>'Metered Electricity'!B4</f>
        <v>0</v>
      </c>
      <c r="E22" s="162" t="str">
        <f>IFERROR('Metered Electricity'!B5,"")</f>
        <v/>
      </c>
      <c r="G22" s="75"/>
    </row>
    <row r="23" spans="1:7" x14ac:dyDescent="0.25">
      <c r="A23" s="4"/>
      <c r="B23" s="4" t="str">
        <f>"- Unmetered Streetlighting"</f>
        <v>- Unmetered Streetlighting</v>
      </c>
      <c r="C23" s="160">
        <f>IF(Streetlighting!B3="Need to select data entry method at B12","",Streetlighting!B3)</f>
        <v>0</v>
      </c>
      <c r="D23" s="160">
        <f>Streetlighting!B4</f>
        <v>0</v>
      </c>
      <c r="E23" s="162" t="str">
        <f>IFERROR(Streetlighting!B5,"")</f>
        <v/>
      </c>
    </row>
    <row r="24" spans="1:7" x14ac:dyDescent="0.25">
      <c r="A24" s="4"/>
      <c r="B24" s="4" t="str">
        <f>"- Solar Generation"</f>
        <v>- Solar Generation</v>
      </c>
      <c r="C24" s="160">
        <f>Solar!B8</f>
        <v>0</v>
      </c>
      <c r="D24" s="160">
        <f t="shared" ref="D24:D26" si="0">C24*3.6/1000</f>
        <v>0</v>
      </c>
      <c r="E24" s="162" t="str">
        <f>IF(B9="","",Solar!D8)</f>
        <v/>
      </c>
      <c r="F24" t="s">
        <v>531</v>
      </c>
    </row>
    <row r="25" spans="1:7" x14ac:dyDescent="0.25">
      <c r="A25" s="4"/>
      <c r="B25" s="4" t="str">
        <f>"- Solar Used On Site"</f>
        <v>- Solar Used On Site</v>
      </c>
      <c r="C25" s="160">
        <f>C24-C26</f>
        <v>0</v>
      </c>
      <c r="D25" s="160">
        <f>D24-D26</f>
        <v>0</v>
      </c>
      <c r="E25" s="162" t="str">
        <f>IF(B10="","",Solar!D9)</f>
        <v/>
      </c>
    </row>
    <row r="26" spans="1:7" x14ac:dyDescent="0.25">
      <c r="A26" s="4"/>
      <c r="B26" s="4" t="str">
        <f>"- Solar Export"</f>
        <v>- Solar Export</v>
      </c>
      <c r="C26" s="160">
        <f>Solar!B10</f>
        <v>0</v>
      </c>
      <c r="D26" s="160">
        <f t="shared" si="0"/>
        <v>0</v>
      </c>
      <c r="E26" s="162" t="str">
        <f>IF(B9="","",Solar!D10)</f>
        <v/>
      </c>
      <c r="F26" t="s">
        <v>532</v>
      </c>
    </row>
    <row r="27" spans="1:7" x14ac:dyDescent="0.25">
      <c r="A27" s="4"/>
      <c r="B27" s="4" t="str">
        <f>"- Electric Vehicle Charging"</f>
        <v>- Electric Vehicle Charging</v>
      </c>
      <c r="C27" s="160">
        <f>IF(Fuel!B46='Factors and Tables'!H89,Fuel!C55,Fuel!B55)</f>
        <v>0</v>
      </c>
      <c r="D27" s="160">
        <f>Fuel!D55</f>
        <v>0</v>
      </c>
      <c r="E27" s="162" t="str">
        <f>Fuel!E55</f>
        <v/>
      </c>
    </row>
    <row r="29" spans="1:7" x14ac:dyDescent="0.25">
      <c r="A29" s="8" t="s">
        <v>7</v>
      </c>
      <c r="C29" s="8" t="s">
        <v>623</v>
      </c>
      <c r="D29" s="6" t="s">
        <v>199</v>
      </c>
      <c r="E29" s="6" t="s">
        <v>99</v>
      </c>
    </row>
    <row r="30" spans="1:7" x14ac:dyDescent="0.25">
      <c r="C30" s="174" t="s">
        <v>624</v>
      </c>
      <c r="D30" s="175">
        <f>Fuel!D56</f>
        <v>0</v>
      </c>
      <c r="E30" s="183">
        <f>Fuel!E56</f>
        <v>0</v>
      </c>
    </row>
    <row r="31" spans="1:7" x14ac:dyDescent="0.25">
      <c r="C31" s="174" t="s">
        <v>625</v>
      </c>
      <c r="D31" s="175">
        <f>Fuel!D13</f>
        <v>0</v>
      </c>
      <c r="E31" s="183">
        <f>Fuel!E13</f>
        <v>0</v>
      </c>
    </row>
    <row r="32" spans="1:7" x14ac:dyDescent="0.25">
      <c r="A32" s="173"/>
      <c r="B32" s="172" t="s">
        <v>90</v>
      </c>
      <c r="C32" s="6" t="s">
        <v>97</v>
      </c>
      <c r="D32" s="6" t="s">
        <v>199</v>
      </c>
      <c r="E32" s="6" t="str">
        <f>E19</f>
        <v>GHG Emissions (tCO2-e)</v>
      </c>
    </row>
    <row r="33" spans="1:8" x14ac:dyDescent="0.25">
      <c r="A33" s="173"/>
      <c r="B33" s="171" t="s">
        <v>133</v>
      </c>
      <c r="C33" s="9">
        <f>IF(Fuel!B46='Factors and Tables'!H90,Fuel!B50,Fuel!C50)+IF(Fuel!$B$10='Factors and Tables'!H86,Fuel!D19,Fuel!C19)</f>
        <v>0</v>
      </c>
      <c r="D33" s="9">
        <f>Fuel!E19+Fuel!D50</f>
        <v>0</v>
      </c>
      <c r="E33" s="57">
        <f>Fuel!F19+Fuel!E50</f>
        <v>0</v>
      </c>
    </row>
    <row r="34" spans="1:8" x14ac:dyDescent="0.25">
      <c r="A34" s="173"/>
      <c r="B34" s="171" t="s">
        <v>200</v>
      </c>
      <c r="C34" s="9">
        <f>IF(Fuel!B46='Factors and Tables'!H90,SUM(Fuel!B51:B52),SUM(Fuel!C51:C52))</f>
        <v>0</v>
      </c>
      <c r="D34" s="9">
        <f>Fuel!D51+Fuel!D52</f>
        <v>0</v>
      </c>
      <c r="E34" s="57">
        <f>Fuel!E51+Fuel!E52</f>
        <v>0</v>
      </c>
    </row>
    <row r="35" spans="1:8" x14ac:dyDescent="0.25">
      <c r="A35" s="173"/>
      <c r="B35" s="171" t="s">
        <v>73</v>
      </c>
      <c r="C35" s="9">
        <f>IF(Fuel!B46='Factors and Tables'!H90,Fuel!B53,Fuel!C53)+IF(Fuel!$B$10='Factors and Tables'!H86,Fuel!D16,Fuel!C16)</f>
        <v>0</v>
      </c>
      <c r="D35" s="9">
        <f>Fuel!E16+Fuel!D53</f>
        <v>0</v>
      </c>
      <c r="E35" s="57">
        <f>Fuel!F16+Fuel!E53</f>
        <v>0</v>
      </c>
    </row>
    <row r="36" spans="1:8" x14ac:dyDescent="0.25">
      <c r="A36" s="173"/>
      <c r="B36" s="171" t="s">
        <v>201</v>
      </c>
      <c r="C36" s="9">
        <f>IF(Fuel!B46="Fuel Data for Each Vehicle/Plant Item",Fuel!C54,Fuel!B54)</f>
        <v>0</v>
      </c>
      <c r="D36" s="9">
        <f>Fuel!D54</f>
        <v>0</v>
      </c>
      <c r="E36" s="57">
        <f>Fuel!E54</f>
        <v>0</v>
      </c>
      <c r="H36" s="130"/>
    </row>
    <row r="37" spans="1:8" x14ac:dyDescent="0.25">
      <c r="A37" s="173"/>
      <c r="B37" s="171" t="s">
        <v>491</v>
      </c>
      <c r="C37" s="9">
        <f>IF(Fuel!$B$10='Factors and Tables'!H86,Fuel!D17,Fuel!C17)</f>
        <v>0</v>
      </c>
      <c r="D37" s="9">
        <f>Fuel!E17</f>
        <v>0</v>
      </c>
      <c r="E37" s="57">
        <f>Fuel!F17</f>
        <v>0</v>
      </c>
      <c r="G37" s="130"/>
    </row>
    <row r="38" spans="1:8" x14ac:dyDescent="0.25">
      <c r="A38" s="173"/>
      <c r="B38" s="171" t="s">
        <v>132</v>
      </c>
      <c r="C38" s="9">
        <f>IF(Fuel!$B$10='Factors and Tables'!H86,Fuel!D18,Fuel!C18)</f>
        <v>0</v>
      </c>
      <c r="D38" s="9">
        <f>Fuel!E18</f>
        <v>0</v>
      </c>
      <c r="E38" s="57">
        <f>Fuel!F18</f>
        <v>0</v>
      </c>
      <c r="G38" s="130"/>
    </row>
    <row r="39" spans="1:8" x14ac:dyDescent="0.25">
      <c r="A39" s="173"/>
      <c r="B39" s="171" t="s">
        <v>182</v>
      </c>
      <c r="C39" s="9">
        <f>IF(Fuel!$B$10='Factors and Tables'!H86,Fuel!D20,Fuel!C20)</f>
        <v>0</v>
      </c>
      <c r="D39" s="9">
        <f>Fuel!E20</f>
        <v>0</v>
      </c>
      <c r="E39" s="57">
        <f>Fuel!F20</f>
        <v>0</v>
      </c>
      <c r="G39" s="130"/>
    </row>
    <row r="41" spans="1:8" ht="30" x14ac:dyDescent="0.25">
      <c r="A41" s="8" t="s">
        <v>8</v>
      </c>
      <c r="B41" s="8" t="s">
        <v>205</v>
      </c>
      <c r="C41" s="8" t="s">
        <v>204</v>
      </c>
      <c r="D41" s="19" t="str">
        <f>E32</f>
        <v>GHG Emissions (tCO2-e)</v>
      </c>
      <c r="E41" s="19" t="str">
        <f>Waste!D12</f>
        <v>Emissions - excl LFG Collection (tCO2-e)</v>
      </c>
    </row>
    <row r="42" spans="1:8" x14ac:dyDescent="0.25">
      <c r="A42" s="58" t="s">
        <v>203</v>
      </c>
      <c r="B42" s="58"/>
      <c r="C42" s="129" t="e">
        <f>SUM(C43:C45)</f>
        <v>#VALUE!</v>
      </c>
      <c r="D42" s="129">
        <f>SUM(D43:D45)</f>
        <v>0</v>
      </c>
      <c r="E42" s="129">
        <f>SUM(E43:E45)</f>
        <v>0</v>
      </c>
    </row>
    <row r="43" spans="1:8" x14ac:dyDescent="0.25">
      <c r="A43" s="4"/>
      <c r="B43" s="4" t="s">
        <v>202</v>
      </c>
      <c r="C43" s="9" t="str">
        <f>Waste!B13</f>
        <v/>
      </c>
      <c r="D43" s="9">
        <f>Waste!C13</f>
        <v>0</v>
      </c>
      <c r="E43" s="9">
        <f>Waste!D13</f>
        <v>0</v>
      </c>
    </row>
    <row r="44" spans="1:8" x14ac:dyDescent="0.25">
      <c r="A44" s="4"/>
      <c r="B44" s="4" t="s">
        <v>154</v>
      </c>
      <c r="C44" s="9" t="e">
        <f>Waste!B14</f>
        <v>#VALUE!</v>
      </c>
      <c r="D44" s="9" t="str">
        <f>Waste!C14</f>
        <v/>
      </c>
      <c r="E44" s="9" t="str">
        <f>Waste!D14</f>
        <v/>
      </c>
    </row>
    <row r="45" spans="1:8" x14ac:dyDescent="0.25">
      <c r="A45" s="4"/>
      <c r="B45" s="4" t="s">
        <v>419</v>
      </c>
      <c r="C45" s="9" t="str">
        <f>Waste!B15</f>
        <v/>
      </c>
      <c r="D45" s="9" t="str">
        <f>Waste!C15</f>
        <v/>
      </c>
      <c r="E45" s="9" t="str">
        <f>Waste!D15</f>
        <v/>
      </c>
    </row>
    <row r="50" spans="5:6" x14ac:dyDescent="0.25">
      <c r="E50" s="90"/>
    </row>
    <row r="51" spans="5:6" x14ac:dyDescent="0.25">
      <c r="E51" s="121"/>
      <c r="F51" s="122"/>
    </row>
  </sheetData>
  <sheetProtection algorithmName="SHA-512" hashValue="OfVsVT0Hq1hcdyGnBP1m+jfz7q2ww6bwkWpgbfFmHSffBO+vP1H9VZdnlEthXZT0kGFQfBU5PXDRMyYTrRVfjQ==" saltValue="Jfm1IhF8JEfT5uS6CdBnog==" spinCount="100000" sheet="1" objects="1" scenarios="1" selectLockedCells="1" selectUnlockedCells="1"/>
  <mergeCells count="2">
    <mergeCell ref="A3:E3"/>
    <mergeCell ref="A5:E5"/>
  </mergeCells>
  <pageMargins left="0.7" right="0.7" top="0.75" bottom="0.75" header="0.3" footer="0.3"/>
  <pageSetup paperSize="9" orientation="portrait" r:id="rId1"/>
  <ignoredErrors>
    <ignoredError sqref="D25" 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C517826-EAB1-4458-A594-FCAC69260A61}">
          <x14:formula1>
            <xm:f>'Factors and Tables'!$B$5:$R$5</xm:f>
          </x14:formula1>
          <xm:sqref>B10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B74B9-5B93-4797-AEF9-9E3804F5EB2B}">
  <dimension ref="A1:P232"/>
  <sheetViews>
    <sheetView zoomScale="90" zoomScaleNormal="90" workbookViewId="0">
      <selection activeCell="E5" sqref="E5"/>
    </sheetView>
  </sheetViews>
  <sheetFormatPr defaultRowHeight="15" x14ac:dyDescent="0.25"/>
  <cols>
    <col min="1" max="1" width="58.5703125" customWidth="1"/>
    <col min="2" max="2" width="20.42578125" customWidth="1"/>
    <col min="3" max="3" width="27.140625" customWidth="1"/>
    <col min="4" max="4" width="11.5703125" customWidth="1"/>
    <col min="5" max="5" width="12.7109375" customWidth="1"/>
    <col min="6" max="6" width="10.85546875" customWidth="1"/>
    <col min="7" max="7" width="10.42578125" customWidth="1"/>
    <col min="8" max="8" width="10.5703125" customWidth="1"/>
    <col min="9" max="9" width="10.7109375" customWidth="1"/>
    <col min="11" max="11" width="14.28515625" bestFit="1" customWidth="1"/>
  </cols>
  <sheetData>
    <row r="1" spans="1:12" ht="18.75" x14ac:dyDescent="0.3">
      <c r="A1" s="1" t="str">
        <f>_xlfn.CONCAT(Summary!B7," - Metered Electricity - ",Summary!B9)</f>
        <v xml:space="preserve"> - Metered Electricity - </v>
      </c>
      <c r="B1" s="1"/>
      <c r="C1" s="1"/>
    </row>
    <row r="3" spans="1:12" ht="31.5" x14ac:dyDescent="0.25">
      <c r="A3" s="133" t="s">
        <v>20</v>
      </c>
      <c r="B3" s="151">
        <f>'Data Input'!B8</f>
        <v>0</v>
      </c>
      <c r="C3" s="133" t="s">
        <v>21</v>
      </c>
    </row>
    <row r="4" spans="1:12" ht="15.75" x14ac:dyDescent="0.25">
      <c r="A4" s="133" t="s">
        <v>656</v>
      </c>
      <c r="B4" s="134">
        <f>B3*0.0036</f>
        <v>0</v>
      </c>
      <c r="C4" s="133" t="s">
        <v>326</v>
      </c>
    </row>
    <row r="5" spans="1:12" ht="15.75" x14ac:dyDescent="0.25">
      <c r="A5" s="133" t="s">
        <v>170</v>
      </c>
      <c r="B5" s="135" t="e">
        <f>B3/1000*HLOOKUP(Summary!B9,'Factors and Tables'!B5:N6,2,FALSE)</f>
        <v>#N/A</v>
      </c>
      <c r="C5" s="133" t="s">
        <v>171</v>
      </c>
    </row>
    <row r="6" spans="1:12" ht="15.75" x14ac:dyDescent="0.25">
      <c r="A6" s="3" t="s">
        <v>173</v>
      </c>
      <c r="B6" s="37"/>
      <c r="C6" s="7"/>
    </row>
    <row r="7" spans="1:12" ht="23.25" customHeight="1" x14ac:dyDescent="0.25">
      <c r="A7" s="157" t="s">
        <v>226</v>
      </c>
      <c r="B7" s="158"/>
      <c r="C7" s="3"/>
    </row>
    <row r="8" spans="1:12" ht="21" customHeight="1" x14ac:dyDescent="0.25">
      <c r="A8" s="198" t="s">
        <v>589</v>
      </c>
      <c r="B8" s="198"/>
      <c r="C8" s="198"/>
      <c r="D8" s="198"/>
      <c r="E8" s="198"/>
      <c r="F8" s="198"/>
      <c r="G8" s="198"/>
      <c r="H8" s="198"/>
      <c r="I8" s="198"/>
      <c r="J8" s="198"/>
    </row>
    <row r="9" spans="1:12" ht="37.5" customHeight="1" x14ac:dyDescent="0.25">
      <c r="A9" s="200" t="s">
        <v>590</v>
      </c>
      <c r="B9" s="200"/>
      <c r="C9" s="200"/>
      <c r="D9" s="200"/>
      <c r="E9" s="200"/>
      <c r="F9" s="200"/>
      <c r="G9" s="200"/>
      <c r="H9" s="200"/>
      <c r="I9" s="200"/>
      <c r="J9" s="200"/>
      <c r="K9" s="2"/>
      <c r="L9" s="2"/>
    </row>
    <row r="10" spans="1:12" ht="57" customHeight="1" x14ac:dyDescent="0.25">
      <c r="A10" s="201" t="s">
        <v>320</v>
      </c>
      <c r="B10" s="201"/>
      <c r="C10" s="201"/>
      <c r="D10" s="201"/>
      <c r="E10" s="201"/>
      <c r="F10" s="201"/>
      <c r="G10" s="201"/>
      <c r="H10" s="201"/>
      <c r="I10" s="201"/>
      <c r="J10" s="201"/>
      <c r="K10" s="35"/>
      <c r="L10" s="35"/>
    </row>
    <row r="11" spans="1:12" x14ac:dyDescent="0.25">
      <c r="A11" s="190" t="s">
        <v>591</v>
      </c>
      <c r="B11" s="190"/>
      <c r="C11" s="190"/>
      <c r="D11" s="190"/>
      <c r="E11" s="190"/>
      <c r="F11" s="190"/>
      <c r="G11" s="190"/>
      <c r="H11" s="190"/>
      <c r="I11" s="190"/>
      <c r="J11" s="190"/>
      <c r="K11" s="190"/>
      <c r="L11" s="2"/>
    </row>
    <row r="12" spans="1:12" ht="21" customHeight="1" x14ac:dyDescent="0.25">
      <c r="A12" s="197" t="s">
        <v>172</v>
      </c>
      <c r="B12" s="197"/>
      <c r="C12" s="197"/>
      <c r="D12" s="197"/>
      <c r="E12" s="197"/>
      <c r="F12" s="197"/>
      <c r="G12" s="197"/>
      <c r="H12" s="197"/>
      <c r="I12" s="197"/>
      <c r="J12" s="197"/>
      <c r="K12" s="104"/>
      <c r="L12" s="104"/>
    </row>
    <row r="13" spans="1:12" ht="10.5" customHeight="1" x14ac:dyDescent="0.25">
      <c r="A13" s="36"/>
      <c r="B13" s="36"/>
      <c r="C13" s="36"/>
      <c r="D13" s="36"/>
      <c r="E13" s="36"/>
      <c r="F13" s="36"/>
      <c r="G13" s="36"/>
      <c r="H13" s="36"/>
      <c r="I13" s="36"/>
      <c r="J13" s="36"/>
      <c r="K13" s="36"/>
      <c r="L13" s="36"/>
    </row>
    <row r="14" spans="1:12" ht="28.5" customHeight="1" x14ac:dyDescent="0.25">
      <c r="A14" s="48" t="s">
        <v>215</v>
      </c>
      <c r="B14" s="49" t="s">
        <v>216</v>
      </c>
      <c r="C14" s="202" t="s">
        <v>316</v>
      </c>
      <c r="D14" s="203"/>
      <c r="E14" s="203"/>
      <c r="F14" s="203"/>
      <c r="G14" s="203"/>
      <c r="H14" s="203"/>
      <c r="I14" s="203"/>
      <c r="J14" s="203"/>
      <c r="K14" s="36"/>
      <c r="L14" s="36"/>
    </row>
    <row r="15" spans="1:12" ht="15.75" x14ac:dyDescent="0.25">
      <c r="A15" s="5"/>
      <c r="B15" s="5"/>
      <c r="C15" s="5"/>
      <c r="D15" s="5"/>
      <c r="E15" s="5"/>
    </row>
    <row r="16" spans="1:12" ht="15.75" x14ac:dyDescent="0.25">
      <c r="A16" s="8" t="s">
        <v>220</v>
      </c>
      <c r="B16" s="52">
        <f>'Data Input'!B8</f>
        <v>0</v>
      </c>
      <c r="C16" s="5" t="s">
        <v>487</v>
      </c>
      <c r="D16" s="5"/>
      <c r="E16" s="5"/>
    </row>
    <row r="17" spans="1:16" ht="15.75" x14ac:dyDescent="0.25">
      <c r="B17" s="5"/>
      <c r="C17" s="5"/>
      <c r="D17" s="5"/>
      <c r="E17" s="5"/>
    </row>
    <row r="18" spans="1:16" ht="30" x14ac:dyDescent="0.25">
      <c r="A18" s="8" t="s">
        <v>231</v>
      </c>
      <c r="B18" s="4"/>
      <c r="C18" s="4"/>
      <c r="D18" s="19" t="s">
        <v>315</v>
      </c>
      <c r="E18" s="19" t="str">
        <f>F21</f>
        <v>1st Qtr              (Jul - Sep)</v>
      </c>
      <c r="F18" s="19" t="str">
        <f>G21</f>
        <v>2nd Qtr (Oct - Dec)</v>
      </c>
      <c r="G18" s="19" t="str">
        <f>H21</f>
        <v>3rd Qtr (Jan - Mar)</v>
      </c>
      <c r="H18" s="19" t="str">
        <f>I21</f>
        <v>4th Qtr (Apr - Jun)</v>
      </c>
      <c r="I18" s="55"/>
      <c r="J18" s="55"/>
      <c r="K18" s="55"/>
      <c r="L18" s="55"/>
      <c r="M18" s="55"/>
      <c r="N18" s="55"/>
      <c r="O18" s="55"/>
      <c r="P18" s="55"/>
    </row>
    <row r="19" spans="1:16" x14ac:dyDescent="0.25">
      <c r="A19" s="4" t="s">
        <v>317</v>
      </c>
      <c r="B19" s="4"/>
      <c r="C19" s="4"/>
      <c r="D19" s="9">
        <f>SUM(E19:P19)</f>
        <v>0</v>
      </c>
      <c r="E19" s="50"/>
      <c r="F19" s="50"/>
      <c r="G19" s="50"/>
      <c r="H19" s="50"/>
      <c r="I19" s="56"/>
      <c r="J19" s="56"/>
      <c r="K19" s="56"/>
      <c r="L19" s="56"/>
      <c r="M19" s="56"/>
      <c r="N19" s="56"/>
      <c r="O19" s="56"/>
      <c r="P19" s="56"/>
    </row>
    <row r="21" spans="1:16" ht="44.25" customHeight="1" x14ac:dyDescent="0.25">
      <c r="A21" s="8" t="s">
        <v>9</v>
      </c>
      <c r="B21" s="6" t="s">
        <v>22</v>
      </c>
      <c r="C21" s="19" t="s">
        <v>554</v>
      </c>
      <c r="D21" s="19" t="s">
        <v>221</v>
      </c>
      <c r="E21" s="19" t="s">
        <v>318</v>
      </c>
      <c r="F21" s="19" t="s">
        <v>319</v>
      </c>
      <c r="G21" s="19" t="s">
        <v>227</v>
      </c>
      <c r="H21" s="19" t="s">
        <v>228</v>
      </c>
      <c r="I21" s="19" t="s">
        <v>229</v>
      </c>
    </row>
    <row r="22" spans="1:16" x14ac:dyDescent="0.25">
      <c r="A22" s="15" t="str">
        <f>IFERROR(IF(#REF!="","",IFERROR(#REF!,"")),"")</f>
        <v/>
      </c>
      <c r="B22" s="15"/>
      <c r="C22" s="15"/>
      <c r="D22" s="28"/>
      <c r="E22" s="9">
        <f>SUM(F22:I22)</f>
        <v>0</v>
      </c>
      <c r="F22" s="10"/>
      <c r="G22" s="10"/>
      <c r="H22" s="10"/>
      <c r="I22" s="10"/>
      <c r="K22" s="89"/>
    </row>
    <row r="23" spans="1:16" x14ac:dyDescent="0.25">
      <c r="A23" s="15" t="str">
        <f>IFERROR(IF(#REF!="","",IFERROR(#REF!,"")),"")</f>
        <v/>
      </c>
      <c r="B23" s="15"/>
      <c r="C23" s="15"/>
      <c r="D23" s="28"/>
      <c r="E23" s="9">
        <f t="shared" ref="E23:E86" si="0">SUM(F23:I23)</f>
        <v>0</v>
      </c>
      <c r="F23" s="10"/>
      <c r="G23" s="10"/>
      <c r="H23" s="10"/>
      <c r="I23" s="10"/>
    </row>
    <row r="24" spans="1:16" x14ac:dyDescent="0.25">
      <c r="A24" s="15" t="str">
        <f>IFERROR(IF(#REF!="","",IFERROR(#REF!,"")),"")</f>
        <v/>
      </c>
      <c r="B24" s="15"/>
      <c r="C24" s="15"/>
      <c r="D24" s="28"/>
      <c r="E24" s="9">
        <f t="shared" si="0"/>
        <v>0</v>
      </c>
      <c r="F24" s="10"/>
      <c r="G24" s="10"/>
      <c r="H24" s="10"/>
      <c r="I24" s="10"/>
    </row>
    <row r="25" spans="1:16" x14ac:dyDescent="0.25">
      <c r="A25" s="15" t="str">
        <f>IFERROR(IF(#REF!="","",IFERROR(#REF!,"")),"")</f>
        <v/>
      </c>
      <c r="B25" s="15"/>
      <c r="C25" s="15"/>
      <c r="D25" s="28"/>
      <c r="E25" s="9">
        <f t="shared" si="0"/>
        <v>0</v>
      </c>
      <c r="F25" s="10"/>
      <c r="G25" s="10"/>
      <c r="H25" s="10"/>
      <c r="I25" s="10"/>
    </row>
    <row r="26" spans="1:16" x14ac:dyDescent="0.25">
      <c r="A26" s="15" t="str">
        <f>IFERROR(IF(#REF!="","",IFERROR(#REF!,"")),"")</f>
        <v/>
      </c>
      <c r="B26" s="15"/>
      <c r="C26" s="15"/>
      <c r="D26" s="28"/>
      <c r="E26" s="9">
        <f t="shared" si="0"/>
        <v>0</v>
      </c>
      <c r="F26" s="10"/>
      <c r="G26" s="10"/>
      <c r="H26" s="10"/>
      <c r="I26" s="10"/>
    </row>
    <row r="27" spans="1:16" x14ac:dyDescent="0.25">
      <c r="A27" s="15" t="str">
        <f>IFERROR(IF(#REF!="","",IFERROR(#REF!,"")),"")</f>
        <v/>
      </c>
      <c r="B27" s="15"/>
      <c r="C27" s="15"/>
      <c r="D27" s="28"/>
      <c r="E27" s="9">
        <f t="shared" si="0"/>
        <v>0</v>
      </c>
      <c r="F27" s="10"/>
      <c r="G27" s="10"/>
      <c r="H27" s="10"/>
      <c r="I27" s="10"/>
    </row>
    <row r="28" spans="1:16" x14ac:dyDescent="0.25">
      <c r="A28" s="15" t="str">
        <f>IFERROR(IF(#REF!="","",IFERROR(#REF!,"")),"")</f>
        <v/>
      </c>
      <c r="B28" s="15"/>
      <c r="C28" s="15"/>
      <c r="D28" s="28"/>
      <c r="E28" s="9">
        <f t="shared" si="0"/>
        <v>0</v>
      </c>
      <c r="F28" s="10"/>
      <c r="G28" s="10"/>
      <c r="H28" s="10"/>
      <c r="I28" s="10"/>
    </row>
    <row r="29" spans="1:16" x14ac:dyDescent="0.25">
      <c r="A29" s="15" t="str">
        <f>IFERROR(IF(#REF!="","",IFERROR(#REF!,"")),"")</f>
        <v/>
      </c>
      <c r="B29" s="15"/>
      <c r="C29" s="15"/>
      <c r="D29" s="28"/>
      <c r="E29" s="9">
        <f t="shared" si="0"/>
        <v>0</v>
      </c>
      <c r="F29" s="10"/>
      <c r="G29" s="10"/>
      <c r="H29" s="10"/>
      <c r="I29" s="10"/>
    </row>
    <row r="30" spans="1:16" x14ac:dyDescent="0.25">
      <c r="A30" s="15" t="str">
        <f>IFERROR(IF(#REF!="","",IFERROR(#REF!,"")),"")</f>
        <v/>
      </c>
      <c r="B30" s="15"/>
      <c r="C30" s="15"/>
      <c r="D30" s="28"/>
      <c r="E30" s="9">
        <f t="shared" si="0"/>
        <v>0</v>
      </c>
      <c r="F30" s="10"/>
      <c r="G30" s="10"/>
      <c r="H30" s="10"/>
      <c r="I30" s="10"/>
    </row>
    <row r="31" spans="1:16" x14ac:dyDescent="0.25">
      <c r="A31" s="15" t="str">
        <f>IFERROR(IF(#REF!="","",IFERROR(#REF!,"")),"")</f>
        <v/>
      </c>
      <c r="B31" s="15"/>
      <c r="C31" s="15"/>
      <c r="D31" s="28"/>
      <c r="E31" s="9">
        <f t="shared" si="0"/>
        <v>0</v>
      </c>
      <c r="F31" s="10"/>
      <c r="G31" s="10"/>
      <c r="H31" s="10"/>
      <c r="I31" s="10"/>
    </row>
    <row r="32" spans="1:16" x14ac:dyDescent="0.25">
      <c r="A32" s="15" t="str">
        <f>IFERROR(IF(#REF!="","",IFERROR(#REF!,"")),"")</f>
        <v/>
      </c>
      <c r="B32" s="15"/>
      <c r="C32" s="15"/>
      <c r="D32" s="28"/>
      <c r="E32" s="9">
        <f t="shared" si="0"/>
        <v>0</v>
      </c>
      <c r="F32" s="10"/>
      <c r="G32" s="10"/>
      <c r="H32" s="10"/>
      <c r="I32" s="10"/>
    </row>
    <row r="33" spans="1:16" x14ac:dyDescent="0.25">
      <c r="A33" s="15" t="str">
        <f>IFERROR(IF(#REF!="","",IFERROR(#REF!,"")),"")</f>
        <v/>
      </c>
      <c r="B33" s="15"/>
      <c r="C33" s="15"/>
      <c r="D33" s="28"/>
      <c r="E33" s="9">
        <f t="shared" si="0"/>
        <v>0</v>
      </c>
      <c r="F33" s="10"/>
      <c r="G33" s="10"/>
      <c r="H33" s="10"/>
      <c r="I33" s="10"/>
    </row>
    <row r="34" spans="1:16" x14ac:dyDescent="0.25">
      <c r="A34" s="15" t="str">
        <f>IFERROR(IF(#REF!="","",IFERROR(#REF!,"")),"")</f>
        <v/>
      </c>
      <c r="B34" s="15"/>
      <c r="C34" s="15"/>
      <c r="D34" s="28"/>
      <c r="E34" s="9">
        <f t="shared" si="0"/>
        <v>0</v>
      </c>
      <c r="F34" s="10"/>
      <c r="G34" s="10"/>
      <c r="H34" s="10"/>
      <c r="I34" s="10"/>
    </row>
    <row r="35" spans="1:16" x14ac:dyDescent="0.25">
      <c r="A35" s="15" t="str">
        <f>IFERROR(IF(#REF!="","",IFERROR(#REF!,"")),"")</f>
        <v/>
      </c>
      <c r="B35" s="15"/>
      <c r="C35" s="15"/>
      <c r="D35" s="28"/>
      <c r="E35" s="9">
        <f t="shared" si="0"/>
        <v>0</v>
      </c>
      <c r="F35" s="10"/>
      <c r="G35" s="10"/>
      <c r="H35" s="10"/>
      <c r="I35" s="10"/>
    </row>
    <row r="36" spans="1:16" x14ac:dyDescent="0.25">
      <c r="A36" s="15" t="str">
        <f>IFERROR(IF(#REF!="","",IFERROR(#REF!,"")),"")</f>
        <v/>
      </c>
      <c r="B36" s="15"/>
      <c r="C36" s="15"/>
      <c r="D36" s="28"/>
      <c r="E36" s="9">
        <f t="shared" si="0"/>
        <v>0</v>
      </c>
      <c r="F36" s="10"/>
      <c r="G36" s="10"/>
      <c r="H36" s="10"/>
      <c r="I36" s="10"/>
    </row>
    <row r="37" spans="1:16" x14ac:dyDescent="0.25">
      <c r="A37" s="15" t="str">
        <f>IFERROR(IF(#REF!="","",IFERROR(#REF!,"")),"")</f>
        <v/>
      </c>
      <c r="B37" s="15"/>
      <c r="C37" s="15"/>
      <c r="D37" s="28"/>
      <c r="E37" s="9">
        <f t="shared" si="0"/>
        <v>0</v>
      </c>
      <c r="F37" s="10"/>
      <c r="G37" s="10"/>
      <c r="H37" s="10"/>
      <c r="I37" s="10"/>
    </row>
    <row r="38" spans="1:16" x14ac:dyDescent="0.25">
      <c r="A38" s="15" t="str">
        <f>IFERROR(IF(#REF!="","",IFERROR(#REF!,"")),"")</f>
        <v/>
      </c>
      <c r="B38" s="15"/>
      <c r="C38" s="15"/>
      <c r="D38" s="28"/>
      <c r="E38" s="9">
        <f t="shared" si="0"/>
        <v>0</v>
      </c>
      <c r="F38" s="10"/>
      <c r="G38" s="10"/>
      <c r="H38" s="10"/>
      <c r="I38" s="10"/>
    </row>
    <row r="39" spans="1:16" x14ac:dyDescent="0.25">
      <c r="A39" s="15" t="str">
        <f>IFERROR(IF(#REF!="","",IFERROR(#REF!,"")),"")</f>
        <v/>
      </c>
      <c r="B39" s="15"/>
      <c r="C39" s="15"/>
      <c r="D39" s="28"/>
      <c r="E39" s="9">
        <f t="shared" si="0"/>
        <v>0</v>
      </c>
      <c r="F39" s="10"/>
      <c r="G39" s="10"/>
      <c r="H39" s="10"/>
      <c r="I39" s="10"/>
    </row>
    <row r="40" spans="1:16" x14ac:dyDescent="0.25">
      <c r="A40" s="15" t="str">
        <f>IFERROR(IF(#REF!="","",IFERROR(#REF!,"")),"")</f>
        <v/>
      </c>
      <c r="B40" s="15"/>
      <c r="C40" s="15"/>
      <c r="D40" s="28"/>
      <c r="E40" s="9">
        <f t="shared" si="0"/>
        <v>0</v>
      </c>
      <c r="F40" s="10"/>
      <c r="G40" s="10"/>
      <c r="H40" s="10"/>
      <c r="I40" s="10"/>
    </row>
    <row r="41" spans="1:16" x14ac:dyDescent="0.25">
      <c r="A41" s="15" t="str">
        <f>IFERROR(IF(#REF!="","",IFERROR(#REF!,"")),"")</f>
        <v/>
      </c>
      <c r="B41" s="15"/>
      <c r="C41" s="15"/>
      <c r="D41" s="28"/>
      <c r="E41" s="9">
        <f t="shared" si="0"/>
        <v>0</v>
      </c>
      <c r="F41" s="10"/>
      <c r="G41" s="10"/>
      <c r="H41" s="10"/>
      <c r="I41" s="10"/>
    </row>
    <row r="42" spans="1:16" x14ac:dyDescent="0.25">
      <c r="A42" s="15" t="str">
        <f>IFERROR(IF(#REF!="","",IFERROR(#REF!,"")),"")</f>
        <v/>
      </c>
      <c r="B42" s="15"/>
      <c r="C42" s="15"/>
      <c r="D42" s="28"/>
      <c r="E42" s="9">
        <f t="shared" si="0"/>
        <v>0</v>
      </c>
      <c r="F42" s="10"/>
      <c r="G42" s="10"/>
      <c r="H42" s="10"/>
      <c r="I42" s="10"/>
      <c r="P42">
        <v>21</v>
      </c>
    </row>
    <row r="43" spans="1:16" x14ac:dyDescent="0.25">
      <c r="A43" s="15" t="str">
        <f>IFERROR(IF(#REF!="","",IFERROR(#REF!,"")),"")</f>
        <v/>
      </c>
      <c r="B43" s="15"/>
      <c r="C43" s="15"/>
      <c r="D43" s="28"/>
      <c r="E43" s="9">
        <f t="shared" si="0"/>
        <v>0</v>
      </c>
      <c r="F43" s="10"/>
      <c r="G43" s="10"/>
      <c r="H43" s="10"/>
      <c r="I43" s="10"/>
    </row>
    <row r="44" spans="1:16" x14ac:dyDescent="0.25">
      <c r="A44" s="15" t="str">
        <f>IFERROR(IF(#REF!="","",IFERROR(#REF!,"")),"")</f>
        <v/>
      </c>
      <c r="B44" s="15"/>
      <c r="C44" s="15"/>
      <c r="D44" s="28"/>
      <c r="E44" s="9">
        <f t="shared" si="0"/>
        <v>0</v>
      </c>
      <c r="F44" s="10"/>
      <c r="G44" s="10"/>
      <c r="H44" s="10"/>
      <c r="I44" s="10"/>
    </row>
    <row r="45" spans="1:16" x14ac:dyDescent="0.25">
      <c r="A45" s="15" t="str">
        <f>IFERROR(IF(#REF!="","",IFERROR(#REF!,"")),"")</f>
        <v/>
      </c>
      <c r="B45" s="15"/>
      <c r="C45" s="15"/>
      <c r="D45" s="28"/>
      <c r="E45" s="9">
        <f t="shared" si="0"/>
        <v>0</v>
      </c>
      <c r="F45" s="10"/>
      <c r="G45" s="10"/>
      <c r="H45" s="10"/>
      <c r="I45" s="10"/>
    </row>
    <row r="46" spans="1:16" x14ac:dyDescent="0.25">
      <c r="A46" s="15" t="str">
        <f>IFERROR(IF(#REF!="","",IFERROR(#REF!,"")),"")</f>
        <v/>
      </c>
      <c r="B46" s="15"/>
      <c r="C46" s="15"/>
      <c r="D46" s="28"/>
      <c r="E46" s="9">
        <f t="shared" si="0"/>
        <v>0</v>
      </c>
      <c r="F46" s="10"/>
      <c r="G46" s="10"/>
      <c r="H46" s="10"/>
      <c r="I46" s="10"/>
    </row>
    <row r="47" spans="1:16" x14ac:dyDescent="0.25">
      <c r="A47" s="15" t="str">
        <f>IFERROR(IF(#REF!="","",IFERROR(#REF!,"")),"")</f>
        <v/>
      </c>
      <c r="B47" s="15"/>
      <c r="C47" s="15"/>
      <c r="D47" s="28"/>
      <c r="E47" s="9">
        <f t="shared" si="0"/>
        <v>0</v>
      </c>
      <c r="F47" s="10"/>
      <c r="G47" s="10"/>
      <c r="H47" s="10"/>
      <c r="I47" s="10"/>
    </row>
    <row r="48" spans="1:16" x14ac:dyDescent="0.25">
      <c r="A48" s="15" t="str">
        <f>IFERROR(IF(#REF!="","",IFERROR(#REF!,"")),"")</f>
        <v/>
      </c>
      <c r="B48" s="15"/>
      <c r="C48" s="15"/>
      <c r="D48" s="28"/>
      <c r="E48" s="9">
        <f t="shared" si="0"/>
        <v>0</v>
      </c>
      <c r="F48" s="10"/>
      <c r="G48" s="10"/>
      <c r="H48" s="10"/>
      <c r="I48" s="10"/>
    </row>
    <row r="49" spans="1:9" x14ac:dyDescent="0.25">
      <c r="A49" s="15" t="str">
        <f>IFERROR(IF(#REF!="","",IFERROR(#REF!,"")),"")</f>
        <v/>
      </c>
      <c r="B49" s="15"/>
      <c r="C49" s="15"/>
      <c r="D49" s="28"/>
      <c r="E49" s="9">
        <f t="shared" si="0"/>
        <v>0</v>
      </c>
      <c r="F49" s="10"/>
      <c r="G49" s="10"/>
      <c r="H49" s="10"/>
      <c r="I49" s="10"/>
    </row>
    <row r="50" spans="1:9" x14ac:dyDescent="0.25">
      <c r="A50" s="15" t="str">
        <f>IFERROR(IF(#REF!="","",IFERROR(#REF!,"")),"")</f>
        <v/>
      </c>
      <c r="B50" s="15"/>
      <c r="C50" s="15"/>
      <c r="D50" s="28"/>
      <c r="E50" s="9">
        <f t="shared" si="0"/>
        <v>0</v>
      </c>
      <c r="F50" s="10"/>
      <c r="G50" s="10"/>
      <c r="H50" s="10"/>
      <c r="I50" s="10"/>
    </row>
    <row r="51" spans="1:9" x14ac:dyDescent="0.25">
      <c r="A51" s="15" t="str">
        <f>IFERROR(IF(#REF!="","",IFERROR(#REF!,"")),"")</f>
        <v/>
      </c>
      <c r="B51" s="15"/>
      <c r="C51" s="15"/>
      <c r="D51" s="28"/>
      <c r="E51" s="9">
        <f t="shared" si="0"/>
        <v>0</v>
      </c>
      <c r="F51" s="10"/>
      <c r="G51" s="10"/>
      <c r="H51" s="10"/>
      <c r="I51" s="10"/>
    </row>
    <row r="52" spans="1:9" x14ac:dyDescent="0.25">
      <c r="A52" s="15" t="str">
        <f>IFERROR(IF(#REF!="","",IFERROR(#REF!,"")),"")</f>
        <v/>
      </c>
      <c r="B52" s="15"/>
      <c r="C52" s="15"/>
      <c r="D52" s="28"/>
      <c r="E52" s="9">
        <f t="shared" si="0"/>
        <v>0</v>
      </c>
      <c r="F52" s="10"/>
      <c r="G52" s="10"/>
      <c r="H52" s="10"/>
      <c r="I52" s="10"/>
    </row>
    <row r="53" spans="1:9" x14ac:dyDescent="0.25">
      <c r="A53" s="15" t="str">
        <f>IFERROR(IF(#REF!="","",IFERROR(#REF!,"")),"")</f>
        <v/>
      </c>
      <c r="B53" s="15"/>
      <c r="C53" s="15"/>
      <c r="D53" s="28"/>
      <c r="E53" s="9">
        <f t="shared" si="0"/>
        <v>0</v>
      </c>
      <c r="F53" s="10"/>
      <c r="G53" s="10"/>
      <c r="H53" s="10"/>
      <c r="I53" s="10"/>
    </row>
    <row r="54" spans="1:9" x14ac:dyDescent="0.25">
      <c r="A54" s="15" t="str">
        <f>IFERROR(IF(#REF!="","",IFERROR(#REF!,"")),"")</f>
        <v/>
      </c>
      <c r="B54" s="15"/>
      <c r="C54" s="15"/>
      <c r="D54" s="28"/>
      <c r="E54" s="9">
        <f t="shared" si="0"/>
        <v>0</v>
      </c>
      <c r="F54" s="10"/>
      <c r="G54" s="10"/>
      <c r="H54" s="10"/>
      <c r="I54" s="10"/>
    </row>
    <row r="55" spans="1:9" x14ac:dyDescent="0.25">
      <c r="A55" s="15" t="str">
        <f>IFERROR(IF(#REF!="","",IFERROR(#REF!,"")),"")</f>
        <v/>
      </c>
      <c r="B55" s="15"/>
      <c r="C55" s="15"/>
      <c r="D55" s="28"/>
      <c r="E55" s="9">
        <f t="shared" si="0"/>
        <v>0</v>
      </c>
      <c r="F55" s="10"/>
      <c r="G55" s="10"/>
      <c r="H55" s="10"/>
      <c r="I55" s="10"/>
    </row>
    <row r="56" spans="1:9" x14ac:dyDescent="0.25">
      <c r="A56" s="15" t="str">
        <f>IFERROR(IF(#REF!="","",IFERROR(#REF!,"")),"")</f>
        <v/>
      </c>
      <c r="B56" s="15"/>
      <c r="C56" s="15"/>
      <c r="D56" s="28"/>
      <c r="E56" s="9">
        <f t="shared" si="0"/>
        <v>0</v>
      </c>
      <c r="F56" s="10"/>
      <c r="G56" s="10"/>
      <c r="H56" s="10"/>
      <c r="I56" s="10"/>
    </row>
    <row r="57" spans="1:9" x14ac:dyDescent="0.25">
      <c r="A57" s="15" t="str">
        <f>IFERROR(IF(#REF!="","",IFERROR(#REF!,"")),"")</f>
        <v/>
      </c>
      <c r="B57" s="15"/>
      <c r="C57" s="15"/>
      <c r="D57" s="28"/>
      <c r="E57" s="9">
        <f t="shared" si="0"/>
        <v>0</v>
      </c>
      <c r="F57" s="10"/>
      <c r="G57" s="10"/>
      <c r="H57" s="10"/>
      <c r="I57" s="10"/>
    </row>
    <row r="58" spans="1:9" x14ac:dyDescent="0.25">
      <c r="A58" s="15" t="str">
        <f>IFERROR(IF(#REF!="","",IFERROR(#REF!,"")),"")</f>
        <v/>
      </c>
      <c r="B58" s="15"/>
      <c r="C58" s="15"/>
      <c r="D58" s="28"/>
      <c r="E58" s="9">
        <f t="shared" si="0"/>
        <v>0</v>
      </c>
      <c r="F58" s="10"/>
      <c r="G58" s="10"/>
      <c r="H58" s="10"/>
      <c r="I58" s="10"/>
    </row>
    <row r="59" spans="1:9" x14ac:dyDescent="0.25">
      <c r="A59" s="15" t="str">
        <f>IFERROR(IF(#REF!="","",IFERROR(#REF!,"")),"")</f>
        <v/>
      </c>
      <c r="B59" s="15"/>
      <c r="C59" s="15"/>
      <c r="D59" s="28"/>
      <c r="E59" s="9">
        <f t="shared" si="0"/>
        <v>0</v>
      </c>
      <c r="F59" s="10"/>
      <c r="G59" s="10"/>
      <c r="H59" s="10"/>
      <c r="I59" s="10"/>
    </row>
    <row r="60" spans="1:9" x14ac:dyDescent="0.25">
      <c r="A60" s="15" t="str">
        <f>IFERROR(IF(#REF!="","",IFERROR(#REF!,"")),"")</f>
        <v/>
      </c>
      <c r="B60" s="15"/>
      <c r="C60" s="15"/>
      <c r="D60" s="28"/>
      <c r="E60" s="9">
        <f t="shared" si="0"/>
        <v>0</v>
      </c>
      <c r="F60" s="10"/>
      <c r="G60" s="10"/>
      <c r="H60" s="10"/>
      <c r="I60" s="10"/>
    </row>
    <row r="61" spans="1:9" x14ac:dyDescent="0.25">
      <c r="A61" s="15" t="str">
        <f>IFERROR(IF(#REF!="","",IFERROR(#REF!,"")),"")</f>
        <v/>
      </c>
      <c r="B61" s="15"/>
      <c r="C61" s="15"/>
      <c r="D61" s="28"/>
      <c r="E61" s="9">
        <f t="shared" si="0"/>
        <v>0</v>
      </c>
      <c r="F61" s="10"/>
      <c r="G61" s="10"/>
      <c r="H61" s="10"/>
      <c r="I61" s="10"/>
    </row>
    <row r="62" spans="1:9" x14ac:dyDescent="0.25">
      <c r="A62" s="15" t="str">
        <f>IFERROR(IF(#REF!="","",IFERROR(#REF!,"")),"")</f>
        <v/>
      </c>
      <c r="B62" s="15"/>
      <c r="C62" s="15"/>
      <c r="D62" s="28"/>
      <c r="E62" s="9">
        <f t="shared" si="0"/>
        <v>0</v>
      </c>
      <c r="F62" s="10"/>
      <c r="G62" s="10"/>
      <c r="H62" s="10"/>
      <c r="I62" s="10"/>
    </row>
    <row r="63" spans="1:9" x14ac:dyDescent="0.25">
      <c r="A63" s="15" t="str">
        <f>IFERROR(IF(#REF!="","",IFERROR(#REF!,"")),"")</f>
        <v/>
      </c>
      <c r="B63" s="15"/>
      <c r="C63" s="15"/>
      <c r="D63" s="28"/>
      <c r="E63" s="9">
        <f t="shared" si="0"/>
        <v>0</v>
      </c>
      <c r="F63" s="10"/>
      <c r="G63" s="10"/>
      <c r="H63" s="10"/>
      <c r="I63" s="10"/>
    </row>
    <row r="64" spans="1:9" x14ac:dyDescent="0.25">
      <c r="A64" s="15" t="str">
        <f>IFERROR(IF(#REF!="","",IFERROR(#REF!,"")),"")</f>
        <v/>
      </c>
      <c r="B64" s="15"/>
      <c r="C64" s="15"/>
      <c r="D64" s="28"/>
      <c r="E64" s="9">
        <f t="shared" si="0"/>
        <v>0</v>
      </c>
      <c r="F64" s="10"/>
      <c r="G64" s="10"/>
      <c r="H64" s="10"/>
      <c r="I64" s="10"/>
    </row>
    <row r="65" spans="1:9" x14ac:dyDescent="0.25">
      <c r="A65" s="15" t="str">
        <f>IFERROR(IF(#REF!="","",IFERROR(#REF!,"")),"")</f>
        <v/>
      </c>
      <c r="B65" s="15"/>
      <c r="C65" s="15"/>
      <c r="D65" s="28"/>
      <c r="E65" s="9">
        <f t="shared" si="0"/>
        <v>0</v>
      </c>
      <c r="F65" s="10"/>
      <c r="G65" s="10"/>
      <c r="H65" s="10"/>
      <c r="I65" s="10"/>
    </row>
    <row r="66" spans="1:9" x14ac:dyDescent="0.25">
      <c r="A66" s="15" t="str">
        <f>IFERROR(IF(#REF!="","",IFERROR(#REF!,"")),"")</f>
        <v/>
      </c>
      <c r="B66" s="15"/>
      <c r="C66" s="15"/>
      <c r="D66" s="28"/>
      <c r="E66" s="9">
        <f t="shared" si="0"/>
        <v>0</v>
      </c>
      <c r="F66" s="10"/>
      <c r="G66" s="10"/>
      <c r="H66" s="10"/>
      <c r="I66" s="10"/>
    </row>
    <row r="67" spans="1:9" x14ac:dyDescent="0.25">
      <c r="A67" s="15" t="str">
        <f>IFERROR(IF(#REF!="","",IFERROR(#REF!,"")),"")</f>
        <v/>
      </c>
      <c r="B67" s="15"/>
      <c r="C67" s="15"/>
      <c r="D67" s="28"/>
      <c r="E67" s="9">
        <f t="shared" si="0"/>
        <v>0</v>
      </c>
      <c r="F67" s="10"/>
      <c r="G67" s="10"/>
      <c r="H67" s="10"/>
      <c r="I67" s="10"/>
    </row>
    <row r="68" spans="1:9" x14ac:dyDescent="0.25">
      <c r="A68" s="15" t="str">
        <f>IFERROR(IF(#REF!="","",IFERROR(#REF!,"")),"")</f>
        <v/>
      </c>
      <c r="B68" s="15"/>
      <c r="C68" s="15"/>
      <c r="D68" s="28"/>
      <c r="E68" s="9">
        <f t="shared" si="0"/>
        <v>0</v>
      </c>
      <c r="F68" s="10"/>
      <c r="G68" s="10"/>
      <c r="H68" s="10"/>
      <c r="I68" s="10"/>
    </row>
    <row r="69" spans="1:9" x14ac:dyDescent="0.25">
      <c r="A69" s="15" t="str">
        <f>IFERROR(IF(#REF!="","",IFERROR(#REF!,"")),"")</f>
        <v/>
      </c>
      <c r="B69" s="15"/>
      <c r="C69" s="15"/>
      <c r="D69" s="28"/>
      <c r="E69" s="9">
        <f t="shared" si="0"/>
        <v>0</v>
      </c>
      <c r="F69" s="10"/>
      <c r="G69" s="10"/>
      <c r="H69" s="10"/>
      <c r="I69" s="10"/>
    </row>
    <row r="70" spans="1:9" x14ac:dyDescent="0.25">
      <c r="A70" s="15" t="str">
        <f>IFERROR(IF(#REF!="","",IFERROR(#REF!,"")),"")</f>
        <v/>
      </c>
      <c r="B70" s="15"/>
      <c r="C70" s="15"/>
      <c r="D70" s="28"/>
      <c r="E70" s="9">
        <f t="shared" si="0"/>
        <v>0</v>
      </c>
      <c r="F70" s="10"/>
      <c r="G70" s="10"/>
      <c r="H70" s="10"/>
      <c r="I70" s="10"/>
    </row>
    <row r="71" spans="1:9" x14ac:dyDescent="0.25">
      <c r="A71" s="15" t="str">
        <f>IFERROR(IF(#REF!="","",IFERROR(#REF!,"")),"")</f>
        <v/>
      </c>
      <c r="B71" s="15"/>
      <c r="C71" s="15"/>
      <c r="D71" s="28"/>
      <c r="E71" s="9">
        <f t="shared" si="0"/>
        <v>0</v>
      </c>
      <c r="F71" s="10"/>
      <c r="G71" s="10"/>
      <c r="H71" s="10"/>
      <c r="I71" s="10"/>
    </row>
    <row r="72" spans="1:9" x14ac:dyDescent="0.25">
      <c r="A72" s="15" t="str">
        <f>IFERROR(IF(#REF!="","",IFERROR(#REF!,"")),"")</f>
        <v/>
      </c>
      <c r="B72" s="15"/>
      <c r="C72" s="15"/>
      <c r="D72" s="28"/>
      <c r="E72" s="9">
        <f t="shared" si="0"/>
        <v>0</v>
      </c>
      <c r="F72" s="10"/>
      <c r="G72" s="10"/>
      <c r="H72" s="10"/>
      <c r="I72" s="10"/>
    </row>
    <row r="73" spans="1:9" x14ac:dyDescent="0.25">
      <c r="A73" s="15" t="str">
        <f>IFERROR(IF(#REF!="","",IFERROR(#REF!,"")),"")</f>
        <v/>
      </c>
      <c r="B73" s="15"/>
      <c r="C73" s="15"/>
      <c r="D73" s="28"/>
      <c r="E73" s="9">
        <f t="shared" si="0"/>
        <v>0</v>
      </c>
      <c r="F73" s="10"/>
      <c r="G73" s="10"/>
      <c r="H73" s="10"/>
      <c r="I73" s="10"/>
    </row>
    <row r="74" spans="1:9" x14ac:dyDescent="0.25">
      <c r="A74" s="15" t="str">
        <f>IFERROR(IF(#REF!="","",IFERROR(#REF!,"")),"")</f>
        <v/>
      </c>
      <c r="B74" s="15"/>
      <c r="C74" s="15"/>
      <c r="D74" s="28"/>
      <c r="E74" s="9">
        <f t="shared" si="0"/>
        <v>0</v>
      </c>
      <c r="F74" s="10"/>
      <c r="G74" s="10"/>
      <c r="H74" s="10"/>
      <c r="I74" s="10"/>
    </row>
    <row r="75" spans="1:9" x14ac:dyDescent="0.25">
      <c r="A75" s="15" t="str">
        <f>IFERROR(IF(#REF!="","",IFERROR(#REF!,"")),"")</f>
        <v/>
      </c>
      <c r="B75" s="15"/>
      <c r="C75" s="15"/>
      <c r="D75" s="28"/>
      <c r="E75" s="9">
        <f t="shared" si="0"/>
        <v>0</v>
      </c>
      <c r="F75" s="10"/>
      <c r="G75" s="10"/>
      <c r="H75" s="10"/>
      <c r="I75" s="10"/>
    </row>
    <row r="76" spans="1:9" x14ac:dyDescent="0.25">
      <c r="A76" s="15" t="str">
        <f>IFERROR(IF(#REF!="","",IFERROR(#REF!,"")),"")</f>
        <v/>
      </c>
      <c r="B76" s="15"/>
      <c r="C76" s="15"/>
      <c r="D76" s="28"/>
      <c r="E76" s="9">
        <f t="shared" si="0"/>
        <v>0</v>
      </c>
      <c r="F76" s="10"/>
      <c r="G76" s="10"/>
      <c r="H76" s="10"/>
      <c r="I76" s="10"/>
    </row>
    <row r="77" spans="1:9" x14ac:dyDescent="0.25">
      <c r="A77" s="15" t="str">
        <f>IFERROR(IF(#REF!="","",IFERROR(#REF!,"")),"")</f>
        <v/>
      </c>
      <c r="B77" s="15"/>
      <c r="C77" s="15"/>
      <c r="D77" s="28"/>
      <c r="E77" s="9">
        <f t="shared" si="0"/>
        <v>0</v>
      </c>
      <c r="F77" s="10"/>
      <c r="G77" s="10"/>
      <c r="H77" s="10"/>
      <c r="I77" s="10"/>
    </row>
    <row r="78" spans="1:9" x14ac:dyDescent="0.25">
      <c r="A78" s="15" t="str">
        <f>IFERROR(IF(#REF!="","",IFERROR(#REF!,"")),"")</f>
        <v/>
      </c>
      <c r="B78" s="15"/>
      <c r="C78" s="15"/>
      <c r="D78" s="28"/>
      <c r="E78" s="9">
        <f t="shared" si="0"/>
        <v>0</v>
      </c>
      <c r="F78" s="10"/>
      <c r="G78" s="10"/>
      <c r="H78" s="10"/>
      <c r="I78" s="10"/>
    </row>
    <row r="79" spans="1:9" x14ac:dyDescent="0.25">
      <c r="A79" s="15" t="str">
        <f>IFERROR(IF(#REF!="","",IFERROR(#REF!,"")),"")</f>
        <v/>
      </c>
      <c r="B79" s="15"/>
      <c r="C79" s="15"/>
      <c r="D79" s="28"/>
      <c r="E79" s="9">
        <f t="shared" si="0"/>
        <v>0</v>
      </c>
      <c r="F79" s="10"/>
      <c r="G79" s="10"/>
      <c r="H79" s="10"/>
      <c r="I79" s="10"/>
    </row>
    <row r="80" spans="1:9" x14ac:dyDescent="0.25">
      <c r="A80" s="15" t="str">
        <f>IFERROR(IF(#REF!="","",IFERROR(#REF!,"")),"")</f>
        <v/>
      </c>
      <c r="B80" s="15"/>
      <c r="C80" s="15"/>
      <c r="D80" s="28"/>
      <c r="E80" s="9">
        <f t="shared" si="0"/>
        <v>0</v>
      </c>
      <c r="F80" s="10"/>
      <c r="G80" s="10"/>
      <c r="H80" s="10"/>
      <c r="I80" s="10"/>
    </row>
    <row r="81" spans="1:9" x14ac:dyDescent="0.25">
      <c r="A81" s="15" t="str">
        <f>IFERROR(IF(#REF!="","",IFERROR(#REF!,"")),"")</f>
        <v/>
      </c>
      <c r="B81" s="15"/>
      <c r="C81" s="15"/>
      <c r="D81" s="28"/>
      <c r="E81" s="9">
        <f t="shared" si="0"/>
        <v>0</v>
      </c>
      <c r="F81" s="10"/>
      <c r="G81" s="10"/>
      <c r="H81" s="10"/>
      <c r="I81" s="10"/>
    </row>
    <row r="82" spans="1:9" x14ac:dyDescent="0.25">
      <c r="A82" s="15" t="str">
        <f>IFERROR(IF(#REF!="","",IFERROR(#REF!,"")),"")</f>
        <v/>
      </c>
      <c r="B82" s="15"/>
      <c r="C82" s="15"/>
      <c r="D82" s="28"/>
      <c r="E82" s="9">
        <f t="shared" si="0"/>
        <v>0</v>
      </c>
      <c r="F82" s="10"/>
      <c r="G82" s="10"/>
      <c r="H82" s="10"/>
      <c r="I82" s="10"/>
    </row>
    <row r="83" spans="1:9" x14ac:dyDescent="0.25">
      <c r="A83" s="15" t="str">
        <f>IFERROR(IF(#REF!="","",IFERROR(#REF!,"")),"")</f>
        <v/>
      </c>
      <c r="B83" s="15"/>
      <c r="C83" s="15"/>
      <c r="D83" s="28"/>
      <c r="E83" s="9">
        <f t="shared" si="0"/>
        <v>0</v>
      </c>
      <c r="F83" s="10"/>
      <c r="G83" s="10"/>
      <c r="H83" s="10"/>
      <c r="I83" s="10"/>
    </row>
    <row r="84" spans="1:9" x14ac:dyDescent="0.25">
      <c r="A84" s="15" t="str">
        <f>IFERROR(IF(#REF!="","",IFERROR(#REF!,"")),"")</f>
        <v/>
      </c>
      <c r="B84" s="15"/>
      <c r="C84" s="15"/>
      <c r="D84" s="28"/>
      <c r="E84" s="9">
        <f t="shared" si="0"/>
        <v>0</v>
      </c>
      <c r="F84" s="10"/>
      <c r="G84" s="10"/>
      <c r="H84" s="10"/>
      <c r="I84" s="10"/>
    </row>
    <row r="85" spans="1:9" x14ac:dyDescent="0.25">
      <c r="A85" s="15" t="str">
        <f>IFERROR(IF(#REF!="","",IFERROR(#REF!,"")),"")</f>
        <v/>
      </c>
      <c r="B85" s="15"/>
      <c r="C85" s="15"/>
      <c r="D85" s="28"/>
      <c r="E85" s="9">
        <f t="shared" si="0"/>
        <v>0</v>
      </c>
      <c r="F85" s="10"/>
      <c r="G85" s="10"/>
      <c r="H85" s="10"/>
      <c r="I85" s="10"/>
    </row>
    <row r="86" spans="1:9" x14ac:dyDescent="0.25">
      <c r="A86" s="15" t="str">
        <f>IFERROR(IF(#REF!="","",IFERROR(#REF!,"")),"")</f>
        <v/>
      </c>
      <c r="B86" s="15"/>
      <c r="C86" s="15"/>
      <c r="D86" s="28"/>
      <c r="E86" s="9">
        <f t="shared" si="0"/>
        <v>0</v>
      </c>
      <c r="F86" s="10"/>
      <c r="G86" s="10"/>
      <c r="H86" s="10"/>
      <c r="I86" s="10"/>
    </row>
    <row r="87" spans="1:9" x14ac:dyDescent="0.25">
      <c r="A87" s="15" t="str">
        <f>IFERROR(IF(#REF!="","",IFERROR(#REF!,"")),"")</f>
        <v/>
      </c>
      <c r="B87" s="15"/>
      <c r="C87" s="15"/>
      <c r="D87" s="28"/>
      <c r="E87" s="9">
        <f t="shared" ref="E87:E121" si="1">SUM(F87:I87)</f>
        <v>0</v>
      </c>
      <c r="F87" s="10"/>
      <c r="G87" s="10"/>
      <c r="H87" s="10"/>
      <c r="I87" s="10"/>
    </row>
    <row r="88" spans="1:9" x14ac:dyDescent="0.25">
      <c r="A88" s="15" t="str">
        <f>IFERROR(IF(#REF!="","",IFERROR(#REF!,"")),"")</f>
        <v/>
      </c>
      <c r="B88" s="15"/>
      <c r="C88" s="15"/>
      <c r="D88" s="28"/>
      <c r="E88" s="9">
        <f t="shared" si="1"/>
        <v>0</v>
      </c>
      <c r="F88" s="10"/>
      <c r="G88" s="10"/>
      <c r="H88" s="10"/>
      <c r="I88" s="10"/>
    </row>
    <row r="89" spans="1:9" x14ac:dyDescent="0.25">
      <c r="A89" s="15" t="str">
        <f>IFERROR(IF(#REF!="","",IFERROR(#REF!,"")),"")</f>
        <v/>
      </c>
      <c r="B89" s="15"/>
      <c r="C89" s="15"/>
      <c r="D89" s="28"/>
      <c r="E89" s="9">
        <f t="shared" si="1"/>
        <v>0</v>
      </c>
      <c r="F89" s="10"/>
      <c r="G89" s="10"/>
      <c r="H89" s="10"/>
      <c r="I89" s="10"/>
    </row>
    <row r="90" spans="1:9" x14ac:dyDescent="0.25">
      <c r="A90" s="15" t="str">
        <f>IFERROR(IF(#REF!="","",IFERROR(#REF!,"")),"")</f>
        <v/>
      </c>
      <c r="B90" s="15"/>
      <c r="C90" s="15"/>
      <c r="D90" s="28"/>
      <c r="E90" s="9">
        <f t="shared" si="1"/>
        <v>0</v>
      </c>
      <c r="F90" s="10"/>
      <c r="G90" s="10"/>
      <c r="H90" s="10"/>
      <c r="I90" s="10"/>
    </row>
    <row r="91" spans="1:9" x14ac:dyDescent="0.25">
      <c r="A91" s="15" t="str">
        <f>IFERROR(IF(#REF!="","",IFERROR(#REF!,"")),"")</f>
        <v/>
      </c>
      <c r="B91" s="15"/>
      <c r="C91" s="15"/>
      <c r="D91" s="28"/>
      <c r="E91" s="9">
        <f t="shared" si="1"/>
        <v>0</v>
      </c>
      <c r="F91" s="10"/>
      <c r="G91" s="10"/>
      <c r="H91" s="10"/>
      <c r="I91" s="10"/>
    </row>
    <row r="92" spans="1:9" x14ac:dyDescent="0.25">
      <c r="A92" s="15" t="str">
        <f>IFERROR(IF(#REF!="","",IFERROR(#REF!,"")),"")</f>
        <v/>
      </c>
      <c r="B92" s="15"/>
      <c r="C92" s="15"/>
      <c r="D92" s="28"/>
      <c r="E92" s="9">
        <f t="shared" si="1"/>
        <v>0</v>
      </c>
      <c r="F92" s="10"/>
      <c r="G92" s="10"/>
      <c r="H92" s="10"/>
      <c r="I92" s="10"/>
    </row>
    <row r="93" spans="1:9" x14ac:dyDescent="0.25">
      <c r="A93" s="15" t="str">
        <f>IFERROR(IF(#REF!="","",IFERROR(#REF!,"")),"")</f>
        <v/>
      </c>
      <c r="B93" s="15"/>
      <c r="C93" s="15"/>
      <c r="D93" s="28"/>
      <c r="E93" s="9">
        <f t="shared" si="1"/>
        <v>0</v>
      </c>
      <c r="F93" s="10"/>
      <c r="G93" s="10"/>
      <c r="H93" s="10"/>
      <c r="I93" s="10"/>
    </row>
    <row r="94" spans="1:9" x14ac:dyDescent="0.25">
      <c r="A94" s="15" t="str">
        <f>IFERROR(IF(#REF!="","",IFERROR(#REF!,"")),"")</f>
        <v/>
      </c>
      <c r="B94" s="15"/>
      <c r="C94" s="15"/>
      <c r="D94" s="28"/>
      <c r="E94" s="9">
        <f t="shared" si="1"/>
        <v>0</v>
      </c>
      <c r="F94" s="10"/>
      <c r="G94" s="10"/>
      <c r="H94" s="10"/>
      <c r="I94" s="10"/>
    </row>
    <row r="95" spans="1:9" x14ac:dyDescent="0.25">
      <c r="A95" s="15" t="str">
        <f>IFERROR(IF(#REF!="","",IFERROR(#REF!,"")),"")</f>
        <v/>
      </c>
      <c r="B95" s="15"/>
      <c r="C95" s="15"/>
      <c r="D95" s="28"/>
      <c r="E95" s="9">
        <f t="shared" si="1"/>
        <v>0</v>
      </c>
      <c r="F95" s="10"/>
      <c r="G95" s="10"/>
      <c r="H95" s="10"/>
      <c r="I95" s="10"/>
    </row>
    <row r="96" spans="1:9" x14ac:dyDescent="0.25">
      <c r="A96" s="15" t="str">
        <f>IFERROR(IF(#REF!="","",IFERROR(#REF!,"")),"")</f>
        <v/>
      </c>
      <c r="B96" s="15"/>
      <c r="C96" s="15"/>
      <c r="D96" s="28"/>
      <c r="E96" s="9">
        <f t="shared" si="1"/>
        <v>0</v>
      </c>
      <c r="F96" s="10"/>
      <c r="G96" s="10"/>
      <c r="H96" s="10"/>
      <c r="I96" s="10"/>
    </row>
    <row r="97" spans="1:9" x14ac:dyDescent="0.25">
      <c r="A97" s="15" t="str">
        <f>IFERROR(IF(#REF!="","",IFERROR(#REF!,"")),"")</f>
        <v/>
      </c>
      <c r="B97" s="15"/>
      <c r="C97" s="15"/>
      <c r="D97" s="28"/>
      <c r="E97" s="9">
        <f t="shared" si="1"/>
        <v>0</v>
      </c>
      <c r="F97" s="10"/>
      <c r="G97" s="10"/>
      <c r="H97" s="10"/>
      <c r="I97" s="10"/>
    </row>
    <row r="98" spans="1:9" x14ac:dyDescent="0.25">
      <c r="A98" s="15" t="str">
        <f>IFERROR(IF(#REF!="","",IFERROR(#REF!,"")),"")</f>
        <v/>
      </c>
      <c r="B98" s="15"/>
      <c r="C98" s="15"/>
      <c r="D98" s="28"/>
      <c r="E98" s="9">
        <f t="shared" si="1"/>
        <v>0</v>
      </c>
      <c r="F98" s="10"/>
      <c r="G98" s="10"/>
      <c r="H98" s="10"/>
      <c r="I98" s="10"/>
    </row>
    <row r="99" spans="1:9" x14ac:dyDescent="0.25">
      <c r="A99" s="15" t="str">
        <f>IFERROR(IF(#REF!="","",IFERROR(#REF!,"")),"")</f>
        <v/>
      </c>
      <c r="B99" s="15"/>
      <c r="C99" s="15"/>
      <c r="D99" s="28"/>
      <c r="E99" s="9">
        <f t="shared" si="1"/>
        <v>0</v>
      </c>
      <c r="F99" s="10"/>
      <c r="G99" s="10"/>
      <c r="H99" s="10"/>
      <c r="I99" s="10"/>
    </row>
    <row r="100" spans="1:9" x14ac:dyDescent="0.25">
      <c r="A100" s="15" t="str">
        <f>IFERROR(IF(#REF!="","",IFERROR(#REF!,"")),"")</f>
        <v/>
      </c>
      <c r="B100" s="15"/>
      <c r="C100" s="15"/>
      <c r="D100" s="28"/>
      <c r="E100" s="9">
        <f t="shared" si="1"/>
        <v>0</v>
      </c>
      <c r="F100" s="10"/>
      <c r="G100" s="10"/>
      <c r="H100" s="10"/>
      <c r="I100" s="10"/>
    </row>
    <row r="101" spans="1:9" x14ac:dyDescent="0.25">
      <c r="A101" s="15" t="str">
        <f>IFERROR(IF(#REF!="","",IFERROR(#REF!,"")),"")</f>
        <v/>
      </c>
      <c r="B101" s="15"/>
      <c r="C101" s="15"/>
      <c r="D101" s="28"/>
      <c r="E101" s="9">
        <f t="shared" si="1"/>
        <v>0</v>
      </c>
      <c r="F101" s="10"/>
      <c r="G101" s="10"/>
      <c r="H101" s="10"/>
      <c r="I101" s="10"/>
    </row>
    <row r="102" spans="1:9" x14ac:dyDescent="0.25">
      <c r="A102" s="15" t="str">
        <f>IFERROR(IF(#REF!="","",IFERROR(#REF!,"")),"")</f>
        <v/>
      </c>
      <c r="B102" s="15"/>
      <c r="C102" s="15"/>
      <c r="D102" s="28"/>
      <c r="E102" s="9">
        <f t="shared" si="1"/>
        <v>0</v>
      </c>
      <c r="F102" s="10"/>
      <c r="G102" s="10"/>
      <c r="H102" s="10"/>
      <c r="I102" s="10"/>
    </row>
    <row r="103" spans="1:9" x14ac:dyDescent="0.25">
      <c r="A103" s="15" t="str">
        <f>IFERROR(IF(#REF!="","",IFERROR(#REF!,"")),"")</f>
        <v/>
      </c>
      <c r="B103" s="15"/>
      <c r="C103" s="15"/>
      <c r="D103" s="28"/>
      <c r="E103" s="9">
        <f t="shared" si="1"/>
        <v>0</v>
      </c>
      <c r="F103" s="10"/>
      <c r="G103" s="10"/>
      <c r="H103" s="10"/>
      <c r="I103" s="10"/>
    </row>
    <row r="104" spans="1:9" x14ac:dyDescent="0.25">
      <c r="A104" s="15" t="str">
        <f>IFERROR(IF(#REF!="","",IFERROR(#REF!,"")),"")</f>
        <v/>
      </c>
      <c r="B104" s="15"/>
      <c r="C104" s="15"/>
      <c r="D104" s="28"/>
      <c r="E104" s="9">
        <f t="shared" si="1"/>
        <v>0</v>
      </c>
      <c r="F104" s="10"/>
      <c r="G104" s="10"/>
      <c r="H104" s="10"/>
      <c r="I104" s="10"/>
    </row>
    <row r="105" spans="1:9" x14ac:dyDescent="0.25">
      <c r="A105" s="15" t="str">
        <f>IFERROR(IF(#REF!="","",IFERROR(#REF!,"")),"")</f>
        <v/>
      </c>
      <c r="B105" s="15"/>
      <c r="C105" s="15"/>
      <c r="D105" s="28"/>
      <c r="E105" s="9">
        <f t="shared" si="1"/>
        <v>0</v>
      </c>
      <c r="F105" s="10"/>
      <c r="G105" s="10"/>
      <c r="H105" s="10"/>
      <c r="I105" s="10"/>
    </row>
    <row r="106" spans="1:9" x14ac:dyDescent="0.25">
      <c r="A106" s="15" t="str">
        <f>IFERROR(IF(#REF!="","",IFERROR(#REF!,"")),"")</f>
        <v/>
      </c>
      <c r="B106" s="15"/>
      <c r="C106" s="15"/>
      <c r="D106" s="28"/>
      <c r="E106" s="9">
        <f t="shared" si="1"/>
        <v>0</v>
      </c>
      <c r="F106" s="10"/>
      <c r="G106" s="10"/>
      <c r="H106" s="10"/>
      <c r="I106" s="10"/>
    </row>
    <row r="107" spans="1:9" x14ac:dyDescent="0.25">
      <c r="A107" s="15" t="str">
        <f>IFERROR(IF(#REF!="","",IFERROR(#REF!,"")),"")</f>
        <v/>
      </c>
      <c r="B107" s="15"/>
      <c r="C107" s="15"/>
      <c r="D107" s="28"/>
      <c r="E107" s="9">
        <f t="shared" si="1"/>
        <v>0</v>
      </c>
      <c r="F107" s="10"/>
      <c r="G107" s="10"/>
      <c r="H107" s="10"/>
      <c r="I107" s="10"/>
    </row>
    <row r="108" spans="1:9" x14ac:dyDescent="0.25">
      <c r="A108" s="15" t="str">
        <f>IFERROR(IF(#REF!="","",IFERROR(#REF!,"")),"")</f>
        <v/>
      </c>
      <c r="B108" s="15"/>
      <c r="C108" s="15"/>
      <c r="D108" s="28"/>
      <c r="E108" s="9">
        <f t="shared" si="1"/>
        <v>0</v>
      </c>
      <c r="F108" s="10"/>
      <c r="G108" s="10"/>
      <c r="H108" s="10"/>
      <c r="I108" s="10"/>
    </row>
    <row r="109" spans="1:9" x14ac:dyDescent="0.25">
      <c r="A109" s="15" t="str">
        <f>IFERROR(IF(#REF!="","",IFERROR(#REF!,"")),"")</f>
        <v/>
      </c>
      <c r="B109" s="15"/>
      <c r="C109" s="15"/>
      <c r="D109" s="28"/>
      <c r="E109" s="9">
        <f t="shared" si="1"/>
        <v>0</v>
      </c>
      <c r="F109" s="10"/>
      <c r="G109" s="10"/>
      <c r="H109" s="10"/>
      <c r="I109" s="10"/>
    </row>
    <row r="110" spans="1:9" x14ac:dyDescent="0.25">
      <c r="A110" s="15" t="str">
        <f>IFERROR(IF(#REF!="","",IFERROR(#REF!,"")),"")</f>
        <v/>
      </c>
      <c r="B110" s="15"/>
      <c r="C110" s="15"/>
      <c r="D110" s="28"/>
      <c r="E110" s="9">
        <f t="shared" si="1"/>
        <v>0</v>
      </c>
      <c r="F110" s="10"/>
      <c r="G110" s="10"/>
      <c r="H110" s="10"/>
      <c r="I110" s="10"/>
    </row>
    <row r="111" spans="1:9" x14ac:dyDescent="0.25">
      <c r="A111" s="15" t="str">
        <f>IFERROR(IF(#REF!="","",IFERROR(#REF!,"")),"")</f>
        <v/>
      </c>
      <c r="B111" s="15"/>
      <c r="C111" s="15"/>
      <c r="D111" s="28"/>
      <c r="E111" s="9">
        <f t="shared" si="1"/>
        <v>0</v>
      </c>
      <c r="F111" s="10"/>
      <c r="G111" s="10"/>
      <c r="H111" s="10"/>
      <c r="I111" s="10"/>
    </row>
    <row r="112" spans="1:9" x14ac:dyDescent="0.25">
      <c r="A112" s="15" t="str">
        <f>IFERROR(IF(#REF!="","",IFERROR(#REF!,"")),"")</f>
        <v/>
      </c>
      <c r="B112" s="15"/>
      <c r="C112" s="15"/>
      <c r="D112" s="28"/>
      <c r="E112" s="9">
        <f t="shared" si="1"/>
        <v>0</v>
      </c>
      <c r="F112" s="10"/>
      <c r="G112" s="10"/>
      <c r="H112" s="10"/>
      <c r="I112" s="10"/>
    </row>
    <row r="113" spans="1:9" x14ac:dyDescent="0.25">
      <c r="A113" s="15" t="str">
        <f>IFERROR(IF(#REF!="","",IFERROR(#REF!,"")),"")</f>
        <v/>
      </c>
      <c r="B113" s="15"/>
      <c r="C113" s="15"/>
      <c r="D113" s="28"/>
      <c r="E113" s="9">
        <f t="shared" si="1"/>
        <v>0</v>
      </c>
      <c r="F113" s="10"/>
      <c r="G113" s="10"/>
      <c r="H113" s="10"/>
      <c r="I113" s="10"/>
    </row>
    <row r="114" spans="1:9" x14ac:dyDescent="0.25">
      <c r="A114" s="15" t="str">
        <f>IFERROR(IF(#REF!="","",IFERROR(#REF!,"")),"")</f>
        <v/>
      </c>
      <c r="B114" s="15"/>
      <c r="C114" s="15"/>
      <c r="D114" s="28"/>
      <c r="E114" s="9">
        <f t="shared" si="1"/>
        <v>0</v>
      </c>
      <c r="F114" s="10"/>
      <c r="G114" s="10"/>
      <c r="H114" s="10"/>
      <c r="I114" s="10"/>
    </row>
    <row r="115" spans="1:9" x14ac:dyDescent="0.25">
      <c r="A115" s="15" t="str">
        <f>IFERROR(IF(#REF!="","",IFERROR(#REF!,"")),"")</f>
        <v/>
      </c>
      <c r="B115" s="15"/>
      <c r="C115" s="15"/>
      <c r="D115" s="28"/>
      <c r="E115" s="9">
        <f t="shared" si="1"/>
        <v>0</v>
      </c>
      <c r="F115" s="10"/>
      <c r="G115" s="10"/>
      <c r="H115" s="10"/>
      <c r="I115" s="10"/>
    </row>
    <row r="116" spans="1:9" x14ac:dyDescent="0.25">
      <c r="A116" s="15" t="str">
        <f>IFERROR(IF(#REF!="","",IFERROR(#REF!,"")),"")</f>
        <v/>
      </c>
      <c r="B116" s="15"/>
      <c r="C116" s="15"/>
      <c r="D116" s="28"/>
      <c r="E116" s="9">
        <f t="shared" si="1"/>
        <v>0</v>
      </c>
      <c r="F116" s="10"/>
      <c r="G116" s="10"/>
      <c r="H116" s="10"/>
      <c r="I116" s="10"/>
    </row>
    <row r="117" spans="1:9" x14ac:dyDescent="0.25">
      <c r="A117" s="15" t="str">
        <f>IFERROR(IF(#REF!="","",IFERROR(#REF!,"")),"")</f>
        <v/>
      </c>
      <c r="B117" s="15"/>
      <c r="C117" s="15"/>
      <c r="D117" s="28"/>
      <c r="E117" s="9">
        <f t="shared" si="1"/>
        <v>0</v>
      </c>
      <c r="F117" s="10"/>
      <c r="G117" s="10"/>
      <c r="H117" s="10"/>
      <c r="I117" s="10"/>
    </row>
    <row r="118" spans="1:9" x14ac:dyDescent="0.25">
      <c r="A118" s="15" t="str">
        <f>IFERROR(IF(#REF!="","",IFERROR(#REF!,"")),"")</f>
        <v/>
      </c>
      <c r="B118" s="15"/>
      <c r="C118" s="15"/>
      <c r="D118" s="28"/>
      <c r="E118" s="9">
        <f t="shared" si="1"/>
        <v>0</v>
      </c>
      <c r="F118" s="10"/>
      <c r="G118" s="10"/>
      <c r="H118" s="10"/>
      <c r="I118" s="10"/>
    </row>
    <row r="119" spans="1:9" x14ac:dyDescent="0.25">
      <c r="A119" s="15" t="str">
        <f>IFERROR(IF(#REF!="","",IFERROR(#REF!,"")),"")</f>
        <v/>
      </c>
      <c r="B119" s="15"/>
      <c r="C119" s="15"/>
      <c r="D119" s="28"/>
      <c r="E119" s="9">
        <f t="shared" si="1"/>
        <v>0</v>
      </c>
      <c r="F119" s="10"/>
      <c r="G119" s="10"/>
      <c r="H119" s="10"/>
      <c r="I119" s="10"/>
    </row>
    <row r="120" spans="1:9" x14ac:dyDescent="0.25">
      <c r="A120" s="15" t="str">
        <f>IFERROR(IF(#REF!="","",IFERROR(#REF!,"")),"")</f>
        <v/>
      </c>
      <c r="B120" s="15"/>
      <c r="C120" s="15"/>
      <c r="D120" s="28"/>
      <c r="E120" s="9">
        <f t="shared" si="1"/>
        <v>0</v>
      </c>
      <c r="F120" s="10"/>
      <c r="G120" s="10"/>
      <c r="H120" s="10"/>
      <c r="I120" s="10"/>
    </row>
    <row r="121" spans="1:9" x14ac:dyDescent="0.25">
      <c r="A121" s="15" t="str">
        <f>IFERROR(IF(#REF!="","",IFERROR(#REF!,"")),"")</f>
        <v/>
      </c>
      <c r="B121" s="15"/>
      <c r="C121" s="15"/>
      <c r="D121" s="28"/>
      <c r="E121" s="9">
        <f t="shared" si="1"/>
        <v>0</v>
      </c>
      <c r="F121" s="10"/>
      <c r="G121" s="10"/>
      <c r="H121" s="10"/>
      <c r="I121" s="10"/>
    </row>
    <row r="122" spans="1:9" x14ac:dyDescent="0.25">
      <c r="A122" s="15" t="str">
        <f>IFERROR(IF(#REF!="","",IFERROR(#REF!,"")),"")</f>
        <v/>
      </c>
      <c r="B122" s="15"/>
      <c r="C122" s="15"/>
      <c r="D122" s="28"/>
      <c r="E122" s="9">
        <f t="shared" ref="E122:E176" si="2">SUM(F122:I122)</f>
        <v>0</v>
      </c>
      <c r="F122" s="10"/>
      <c r="G122" s="10"/>
      <c r="H122" s="10"/>
      <c r="I122" s="10"/>
    </row>
    <row r="123" spans="1:9" x14ac:dyDescent="0.25">
      <c r="A123" s="15" t="str">
        <f>IFERROR(IF(#REF!="","",IFERROR(#REF!,"")),"")</f>
        <v/>
      </c>
      <c r="B123" s="15"/>
      <c r="C123" s="15"/>
      <c r="D123" s="28"/>
      <c r="E123" s="9">
        <f t="shared" si="2"/>
        <v>0</v>
      </c>
      <c r="F123" s="10"/>
      <c r="G123" s="10"/>
      <c r="H123" s="10"/>
      <c r="I123" s="10"/>
    </row>
    <row r="124" spans="1:9" x14ac:dyDescent="0.25">
      <c r="A124" s="15" t="str">
        <f>IFERROR(IF(#REF!="","",IFERROR(#REF!,"")),"")</f>
        <v/>
      </c>
      <c r="B124" s="15"/>
      <c r="C124" s="15"/>
      <c r="D124" s="28"/>
      <c r="E124" s="9">
        <f t="shared" si="2"/>
        <v>0</v>
      </c>
      <c r="F124" s="10"/>
      <c r="G124" s="10"/>
      <c r="H124" s="10"/>
      <c r="I124" s="10"/>
    </row>
    <row r="125" spans="1:9" x14ac:dyDescent="0.25">
      <c r="A125" s="15" t="str">
        <f>IFERROR(IF(#REF!="","",IFERROR(#REF!,"")),"")</f>
        <v/>
      </c>
      <c r="B125" s="15"/>
      <c r="C125" s="15"/>
      <c r="D125" s="28"/>
      <c r="E125" s="9">
        <f t="shared" si="2"/>
        <v>0</v>
      </c>
      <c r="F125" s="10"/>
      <c r="G125" s="10"/>
      <c r="H125" s="10"/>
      <c r="I125" s="10"/>
    </row>
    <row r="126" spans="1:9" x14ac:dyDescent="0.25">
      <c r="A126" s="15" t="str">
        <f>IFERROR(IF(#REF!="","",IFERROR(#REF!,"")),"")</f>
        <v/>
      </c>
      <c r="B126" s="15"/>
      <c r="C126" s="15"/>
      <c r="D126" s="28"/>
      <c r="E126" s="9">
        <f t="shared" si="2"/>
        <v>0</v>
      </c>
      <c r="F126" s="10"/>
      <c r="G126" s="10"/>
      <c r="H126" s="10"/>
      <c r="I126" s="10"/>
    </row>
    <row r="127" spans="1:9" x14ac:dyDescent="0.25">
      <c r="A127" s="15" t="str">
        <f>IFERROR(IF(#REF!="","",IFERROR(#REF!,"")),"")</f>
        <v/>
      </c>
      <c r="B127" s="15"/>
      <c r="C127" s="15"/>
      <c r="D127" s="28"/>
      <c r="E127" s="9">
        <f t="shared" si="2"/>
        <v>0</v>
      </c>
      <c r="F127" s="10"/>
      <c r="G127" s="10"/>
      <c r="H127" s="10"/>
      <c r="I127" s="10"/>
    </row>
    <row r="128" spans="1:9" x14ac:dyDescent="0.25">
      <c r="A128" s="15" t="str">
        <f>IFERROR(IF(#REF!="","",IFERROR(#REF!,"")),"")</f>
        <v/>
      </c>
      <c r="B128" s="15"/>
      <c r="C128" s="15"/>
      <c r="D128" s="28"/>
      <c r="E128" s="9">
        <f t="shared" si="2"/>
        <v>0</v>
      </c>
      <c r="F128" s="10"/>
      <c r="G128" s="10"/>
      <c r="H128" s="10"/>
      <c r="I128" s="10"/>
    </row>
    <row r="129" spans="1:9" x14ac:dyDescent="0.25">
      <c r="A129" s="15" t="str">
        <f>IFERROR(IF(#REF!="","",IFERROR(#REF!,"")),"")</f>
        <v/>
      </c>
      <c r="B129" s="15"/>
      <c r="C129" s="15"/>
      <c r="D129" s="28"/>
      <c r="E129" s="9">
        <f t="shared" si="2"/>
        <v>0</v>
      </c>
      <c r="F129" s="10"/>
      <c r="G129" s="10"/>
      <c r="H129" s="10"/>
      <c r="I129" s="10"/>
    </row>
    <row r="130" spans="1:9" x14ac:dyDescent="0.25">
      <c r="A130" s="15" t="str">
        <f>IFERROR(IF(#REF!="","",IFERROR(#REF!,"")),"")</f>
        <v/>
      </c>
      <c r="B130" s="15"/>
      <c r="C130" s="15"/>
      <c r="D130" s="28"/>
      <c r="E130" s="9">
        <f t="shared" si="2"/>
        <v>0</v>
      </c>
      <c r="F130" s="10"/>
      <c r="G130" s="10"/>
      <c r="H130" s="10"/>
      <c r="I130" s="10"/>
    </row>
    <row r="131" spans="1:9" x14ac:dyDescent="0.25">
      <c r="A131" s="15" t="str">
        <f>IFERROR(IF(#REF!="","",IFERROR(#REF!,"")),"")</f>
        <v/>
      </c>
      <c r="B131" s="15"/>
      <c r="C131" s="15"/>
      <c r="D131" s="28"/>
      <c r="E131" s="9">
        <f t="shared" si="2"/>
        <v>0</v>
      </c>
      <c r="F131" s="10"/>
      <c r="G131" s="10"/>
      <c r="H131" s="10"/>
      <c r="I131" s="10"/>
    </row>
    <row r="132" spans="1:9" x14ac:dyDescent="0.25">
      <c r="A132" s="15" t="str">
        <f>IFERROR(IF(#REF!="","",IFERROR(#REF!,"")),"")</f>
        <v/>
      </c>
      <c r="B132" s="15"/>
      <c r="C132" s="15"/>
      <c r="D132" s="28"/>
      <c r="E132" s="9">
        <f t="shared" si="2"/>
        <v>0</v>
      </c>
      <c r="F132" s="10"/>
      <c r="G132" s="10"/>
      <c r="H132" s="10"/>
      <c r="I132" s="10"/>
    </row>
    <row r="133" spans="1:9" x14ac:dyDescent="0.25">
      <c r="A133" s="15" t="str">
        <f>IFERROR(IF(#REF!="","",IFERROR(#REF!,"")),"")</f>
        <v/>
      </c>
      <c r="B133" s="15"/>
      <c r="C133" s="15"/>
      <c r="D133" s="28"/>
      <c r="E133" s="9">
        <f t="shared" si="2"/>
        <v>0</v>
      </c>
      <c r="F133" s="10"/>
      <c r="G133" s="10"/>
      <c r="H133" s="10"/>
      <c r="I133" s="10"/>
    </row>
    <row r="134" spans="1:9" x14ac:dyDescent="0.25">
      <c r="A134" s="15" t="str">
        <f>IFERROR(IF(#REF!="","",IFERROR(#REF!,"")),"")</f>
        <v/>
      </c>
      <c r="B134" s="15"/>
      <c r="C134" s="15"/>
      <c r="D134" s="28"/>
      <c r="E134" s="9">
        <f t="shared" si="2"/>
        <v>0</v>
      </c>
      <c r="F134" s="10"/>
      <c r="G134" s="10"/>
      <c r="H134" s="10"/>
      <c r="I134" s="10"/>
    </row>
    <row r="135" spans="1:9" x14ac:dyDescent="0.25">
      <c r="A135" s="15" t="str">
        <f>IFERROR(IF(#REF!="","",IFERROR(#REF!,"")),"")</f>
        <v/>
      </c>
      <c r="B135" s="15"/>
      <c r="C135" s="15"/>
      <c r="D135" s="28"/>
      <c r="E135" s="9">
        <f t="shared" si="2"/>
        <v>0</v>
      </c>
      <c r="F135" s="10"/>
      <c r="G135" s="10"/>
      <c r="H135" s="10"/>
      <c r="I135" s="10"/>
    </row>
    <row r="136" spans="1:9" x14ac:dyDescent="0.25">
      <c r="A136" s="15" t="str">
        <f>IFERROR(IF(#REF!="","",IFERROR(#REF!,"")),"")</f>
        <v/>
      </c>
      <c r="B136" s="15"/>
      <c r="C136" s="15"/>
      <c r="D136" s="28"/>
      <c r="E136" s="9">
        <f t="shared" si="2"/>
        <v>0</v>
      </c>
      <c r="F136" s="10"/>
      <c r="G136" s="10"/>
      <c r="H136" s="10"/>
      <c r="I136" s="10"/>
    </row>
    <row r="137" spans="1:9" x14ac:dyDescent="0.25">
      <c r="A137" s="15" t="str">
        <f>IFERROR(IF(#REF!="","",IFERROR(#REF!,"")),"")</f>
        <v/>
      </c>
      <c r="B137" s="15"/>
      <c r="C137" s="15"/>
      <c r="D137" s="28"/>
      <c r="E137" s="9">
        <f t="shared" si="2"/>
        <v>0</v>
      </c>
      <c r="F137" s="10"/>
      <c r="G137" s="10"/>
      <c r="H137" s="10"/>
      <c r="I137" s="10"/>
    </row>
    <row r="138" spans="1:9" x14ac:dyDescent="0.25">
      <c r="A138" s="15" t="str">
        <f>IFERROR(IF(#REF!="","",IFERROR(#REF!,"")),"")</f>
        <v/>
      </c>
      <c r="B138" s="15"/>
      <c r="C138" s="15"/>
      <c r="D138" s="28"/>
      <c r="E138" s="9">
        <f t="shared" si="2"/>
        <v>0</v>
      </c>
      <c r="F138" s="10"/>
      <c r="G138" s="10"/>
      <c r="H138" s="10"/>
      <c r="I138" s="10"/>
    </row>
    <row r="139" spans="1:9" x14ac:dyDescent="0.25">
      <c r="A139" s="15" t="str">
        <f>IFERROR(IF(#REF!="","",IFERROR(#REF!,"")),"")</f>
        <v/>
      </c>
      <c r="B139" s="15"/>
      <c r="C139" s="15"/>
      <c r="D139" s="28"/>
      <c r="E139" s="9">
        <f t="shared" si="2"/>
        <v>0</v>
      </c>
      <c r="F139" s="10"/>
      <c r="G139" s="10"/>
      <c r="H139" s="10"/>
      <c r="I139" s="10"/>
    </row>
    <row r="140" spans="1:9" x14ac:dyDescent="0.25">
      <c r="A140" s="15" t="str">
        <f>IFERROR(IF(#REF!="","",IFERROR(#REF!,"")),"")</f>
        <v/>
      </c>
      <c r="B140" s="15"/>
      <c r="C140" s="15"/>
      <c r="D140" s="28"/>
      <c r="E140" s="9">
        <f t="shared" si="2"/>
        <v>0</v>
      </c>
      <c r="F140" s="10"/>
      <c r="G140" s="10"/>
      <c r="H140" s="10"/>
      <c r="I140" s="10"/>
    </row>
    <row r="141" spans="1:9" x14ac:dyDescent="0.25">
      <c r="A141" s="15" t="str">
        <f>IFERROR(IF(#REF!="","",IFERROR(#REF!,"")),"")</f>
        <v/>
      </c>
      <c r="B141" s="15"/>
      <c r="C141" s="15"/>
      <c r="D141" s="28"/>
      <c r="E141" s="9">
        <f t="shared" si="2"/>
        <v>0</v>
      </c>
      <c r="F141" s="10"/>
      <c r="G141" s="10"/>
      <c r="H141" s="10"/>
      <c r="I141" s="10"/>
    </row>
    <row r="142" spans="1:9" x14ac:dyDescent="0.25">
      <c r="A142" s="15" t="str">
        <f>IFERROR(IF(#REF!="","",IFERROR(#REF!,"")),"")</f>
        <v/>
      </c>
      <c r="B142" s="15"/>
      <c r="C142" s="15"/>
      <c r="D142" s="28"/>
      <c r="E142" s="9">
        <f t="shared" si="2"/>
        <v>0</v>
      </c>
      <c r="F142" s="10"/>
      <c r="G142" s="10"/>
      <c r="H142" s="10"/>
      <c r="I142" s="10"/>
    </row>
    <row r="143" spans="1:9" x14ac:dyDescent="0.25">
      <c r="A143" s="15" t="str">
        <f>IFERROR(IF(#REF!="","",IFERROR(#REF!,"")),"")</f>
        <v/>
      </c>
      <c r="B143" s="15"/>
      <c r="C143" s="15"/>
      <c r="D143" s="28"/>
      <c r="E143" s="9">
        <f t="shared" si="2"/>
        <v>0</v>
      </c>
      <c r="F143" s="10"/>
      <c r="G143" s="10"/>
      <c r="H143" s="10"/>
      <c r="I143" s="10"/>
    </row>
    <row r="144" spans="1:9" x14ac:dyDescent="0.25">
      <c r="A144" s="15" t="str">
        <f>IFERROR(IF(#REF!="","",IFERROR(#REF!,"")),"")</f>
        <v/>
      </c>
      <c r="B144" s="15"/>
      <c r="C144" s="15"/>
      <c r="D144" s="28"/>
      <c r="E144" s="9">
        <f t="shared" si="2"/>
        <v>0</v>
      </c>
      <c r="F144" s="10"/>
      <c r="G144" s="10"/>
      <c r="H144" s="10"/>
      <c r="I144" s="10"/>
    </row>
    <row r="145" spans="1:9" x14ac:dyDescent="0.25">
      <c r="A145" s="15" t="str">
        <f>IFERROR(IF(#REF!="","",IFERROR(#REF!,"")),"")</f>
        <v/>
      </c>
      <c r="B145" s="15"/>
      <c r="C145" s="15"/>
      <c r="D145" s="28"/>
      <c r="E145" s="9">
        <f t="shared" si="2"/>
        <v>0</v>
      </c>
      <c r="F145" s="10"/>
      <c r="G145" s="10"/>
      <c r="H145" s="10"/>
      <c r="I145" s="10"/>
    </row>
    <row r="146" spans="1:9" x14ac:dyDescent="0.25">
      <c r="A146" s="15" t="str">
        <f>IFERROR(IF(#REF!="","",IFERROR(#REF!,"")),"")</f>
        <v/>
      </c>
      <c r="B146" s="15"/>
      <c r="C146" s="15"/>
      <c r="D146" s="28"/>
      <c r="E146" s="9">
        <f t="shared" si="2"/>
        <v>0</v>
      </c>
      <c r="F146" s="10"/>
      <c r="G146" s="10"/>
      <c r="H146" s="10"/>
      <c r="I146" s="10"/>
    </row>
    <row r="147" spans="1:9" x14ac:dyDescent="0.25">
      <c r="A147" s="15" t="str">
        <f>IFERROR(IF(#REF!="","",IFERROR(#REF!,"")),"")</f>
        <v/>
      </c>
      <c r="B147" s="15"/>
      <c r="C147" s="15"/>
      <c r="D147" s="28"/>
      <c r="E147" s="9">
        <f t="shared" si="2"/>
        <v>0</v>
      </c>
      <c r="F147" s="10"/>
      <c r="G147" s="10"/>
      <c r="H147" s="10"/>
      <c r="I147" s="10"/>
    </row>
    <row r="148" spans="1:9" x14ac:dyDescent="0.25">
      <c r="A148" s="15" t="str">
        <f>IFERROR(IF(#REF!="","",IFERROR(#REF!,"")),"")</f>
        <v/>
      </c>
      <c r="B148" s="15"/>
      <c r="C148" s="15"/>
      <c r="D148" s="28"/>
      <c r="E148" s="9">
        <f t="shared" si="2"/>
        <v>0</v>
      </c>
      <c r="F148" s="10"/>
      <c r="G148" s="10"/>
      <c r="H148" s="10"/>
      <c r="I148" s="10"/>
    </row>
    <row r="149" spans="1:9" x14ac:dyDescent="0.25">
      <c r="A149" s="15" t="str">
        <f>IFERROR(IF(#REF!="","",IFERROR(#REF!,"")),"")</f>
        <v/>
      </c>
      <c r="B149" s="15"/>
      <c r="C149" s="15"/>
      <c r="D149" s="28"/>
      <c r="E149" s="9">
        <f t="shared" si="2"/>
        <v>0</v>
      </c>
      <c r="F149" s="10"/>
      <c r="G149" s="10"/>
      <c r="H149" s="10"/>
      <c r="I149" s="10"/>
    </row>
    <row r="150" spans="1:9" ht="16.5" customHeight="1" x14ac:dyDescent="0.25">
      <c r="A150" s="15" t="str">
        <f>IFERROR(IF(#REF!="","",IFERROR(#REF!,"")),"")</f>
        <v/>
      </c>
      <c r="B150" s="15"/>
      <c r="C150" s="15"/>
      <c r="D150" s="28"/>
      <c r="E150" s="9">
        <f t="shared" si="2"/>
        <v>0</v>
      </c>
      <c r="F150" s="10"/>
      <c r="G150" s="10"/>
      <c r="H150" s="10"/>
      <c r="I150" s="10"/>
    </row>
    <row r="151" spans="1:9" x14ac:dyDescent="0.25">
      <c r="A151" s="15" t="str">
        <f>IFERROR(IF(#REF!="","",IFERROR(#REF!,"")),"")</f>
        <v/>
      </c>
      <c r="B151" s="15"/>
      <c r="C151" s="15"/>
      <c r="D151" s="28"/>
      <c r="E151" s="9">
        <f t="shared" si="2"/>
        <v>0</v>
      </c>
      <c r="F151" s="10"/>
      <c r="G151" s="10"/>
      <c r="H151" s="10"/>
      <c r="I151" s="10"/>
    </row>
    <row r="152" spans="1:9" x14ac:dyDescent="0.25">
      <c r="A152" s="15" t="str">
        <f>IFERROR(IF(#REF!="","",IFERROR(#REF!,"")),"")</f>
        <v/>
      </c>
      <c r="B152" s="15"/>
      <c r="C152" s="15"/>
      <c r="D152" s="28"/>
      <c r="E152" s="9">
        <f t="shared" si="2"/>
        <v>0</v>
      </c>
      <c r="F152" s="10"/>
      <c r="G152" s="10"/>
      <c r="H152" s="10"/>
      <c r="I152" s="10"/>
    </row>
    <row r="153" spans="1:9" x14ac:dyDescent="0.25">
      <c r="A153" s="15" t="str">
        <f>IFERROR(IF(#REF!="","",IFERROR(#REF!,"")),"")</f>
        <v/>
      </c>
      <c r="B153" s="15"/>
      <c r="C153" s="15"/>
      <c r="D153" s="28"/>
      <c r="E153" s="9">
        <f t="shared" si="2"/>
        <v>0</v>
      </c>
      <c r="F153" s="10"/>
      <c r="G153" s="10"/>
      <c r="H153" s="10"/>
      <c r="I153" s="10"/>
    </row>
    <row r="154" spans="1:9" x14ac:dyDescent="0.25">
      <c r="A154" s="15" t="str">
        <f>IFERROR(IF(#REF!="","",IFERROR(#REF!,"")),"")</f>
        <v/>
      </c>
      <c r="B154" s="15"/>
      <c r="C154" s="15"/>
      <c r="D154" s="28"/>
      <c r="E154" s="9">
        <f t="shared" si="2"/>
        <v>0</v>
      </c>
      <c r="F154" s="10"/>
      <c r="G154" s="10"/>
      <c r="H154" s="10"/>
      <c r="I154" s="10"/>
    </row>
    <row r="155" spans="1:9" x14ac:dyDescent="0.25">
      <c r="A155" s="15" t="str">
        <f>IFERROR(IF(#REF!="","",IFERROR(#REF!,"")),"")</f>
        <v/>
      </c>
      <c r="B155" s="15"/>
      <c r="C155" s="15"/>
      <c r="D155" s="28"/>
      <c r="E155" s="9">
        <f t="shared" si="2"/>
        <v>0</v>
      </c>
      <c r="F155" s="10"/>
      <c r="G155" s="10"/>
      <c r="H155" s="10"/>
      <c r="I155" s="10"/>
    </row>
    <row r="156" spans="1:9" x14ac:dyDescent="0.25">
      <c r="A156" s="15" t="str">
        <f>IFERROR(IF(#REF!="","",IFERROR(#REF!,"")),"")</f>
        <v/>
      </c>
      <c r="B156" s="15"/>
      <c r="C156" s="15"/>
      <c r="D156" s="28"/>
      <c r="E156" s="9">
        <f t="shared" si="2"/>
        <v>0</v>
      </c>
      <c r="F156" s="10"/>
      <c r="G156" s="10"/>
      <c r="H156" s="10"/>
      <c r="I156" s="10"/>
    </row>
    <row r="157" spans="1:9" x14ac:dyDescent="0.25">
      <c r="A157" s="15" t="str">
        <f>IFERROR(IF(#REF!="","",IFERROR(#REF!,"")),"")</f>
        <v/>
      </c>
      <c r="B157" s="15"/>
      <c r="C157" s="15"/>
      <c r="D157" s="28"/>
      <c r="E157" s="9">
        <f t="shared" si="2"/>
        <v>0</v>
      </c>
      <c r="F157" s="10"/>
      <c r="G157" s="10"/>
      <c r="H157" s="10"/>
      <c r="I157" s="10"/>
    </row>
    <row r="158" spans="1:9" x14ac:dyDescent="0.25">
      <c r="A158" s="15" t="str">
        <f>IFERROR(IF(#REF!="","",IFERROR(#REF!,"")),"")</f>
        <v/>
      </c>
      <c r="B158" s="15"/>
      <c r="C158" s="15"/>
      <c r="D158" s="28"/>
      <c r="E158" s="9">
        <f t="shared" si="2"/>
        <v>0</v>
      </c>
      <c r="F158" s="10"/>
      <c r="G158" s="10"/>
      <c r="H158" s="10"/>
      <c r="I158" s="10"/>
    </row>
    <row r="159" spans="1:9" x14ac:dyDescent="0.25">
      <c r="A159" s="15" t="str">
        <f>IFERROR(IF(#REF!="","",IFERROR(#REF!,"")),"")</f>
        <v/>
      </c>
      <c r="B159" s="15"/>
      <c r="C159" s="15"/>
      <c r="D159" s="28"/>
      <c r="E159" s="9">
        <f t="shared" si="2"/>
        <v>0</v>
      </c>
      <c r="F159" s="10"/>
      <c r="G159" s="10"/>
      <c r="H159" s="10"/>
      <c r="I159" s="10"/>
    </row>
    <row r="160" spans="1:9" x14ac:dyDescent="0.25">
      <c r="A160" s="15" t="str">
        <f>IFERROR(IF(#REF!="","",IFERROR(#REF!,"")),"")</f>
        <v/>
      </c>
      <c r="B160" s="15"/>
      <c r="C160" s="15"/>
      <c r="D160" s="28"/>
      <c r="E160" s="9">
        <f t="shared" si="2"/>
        <v>0</v>
      </c>
      <c r="F160" s="10"/>
      <c r="G160" s="10"/>
      <c r="H160" s="10"/>
      <c r="I160" s="10"/>
    </row>
    <row r="161" spans="1:9" x14ac:dyDescent="0.25">
      <c r="A161" s="15" t="str">
        <f>IFERROR(IF(#REF!="","",IFERROR(#REF!,"")),"")</f>
        <v/>
      </c>
      <c r="B161" s="15"/>
      <c r="C161" s="15"/>
      <c r="D161" s="28"/>
      <c r="E161" s="9">
        <f t="shared" si="2"/>
        <v>0</v>
      </c>
      <c r="F161" s="10"/>
      <c r="G161" s="10"/>
      <c r="H161" s="10"/>
      <c r="I161" s="10"/>
    </row>
    <row r="162" spans="1:9" x14ac:dyDescent="0.25">
      <c r="A162" s="15" t="str">
        <f>IFERROR(IF(#REF!="","",IFERROR(#REF!,"")),"")</f>
        <v/>
      </c>
      <c r="B162" s="15"/>
      <c r="C162" s="15"/>
      <c r="D162" s="28"/>
      <c r="E162" s="9">
        <f t="shared" si="2"/>
        <v>0</v>
      </c>
      <c r="F162" s="10"/>
      <c r="G162" s="10"/>
      <c r="H162" s="10"/>
      <c r="I162" s="10"/>
    </row>
    <row r="163" spans="1:9" x14ac:dyDescent="0.25">
      <c r="A163" s="15" t="str">
        <f>IFERROR(IF(#REF!="","",IFERROR(#REF!,"")),"")</f>
        <v/>
      </c>
      <c r="B163" s="15"/>
      <c r="C163" s="15"/>
      <c r="D163" s="28"/>
      <c r="E163" s="9">
        <f t="shared" si="2"/>
        <v>0</v>
      </c>
      <c r="F163" s="10"/>
      <c r="G163" s="10"/>
      <c r="H163" s="10"/>
      <c r="I163" s="10"/>
    </row>
    <row r="164" spans="1:9" x14ac:dyDescent="0.25">
      <c r="A164" s="15" t="str">
        <f>IFERROR(IF(#REF!="","",IFERROR(#REF!,"")),"")</f>
        <v/>
      </c>
      <c r="B164" s="15"/>
      <c r="C164" s="15"/>
      <c r="D164" s="28"/>
      <c r="E164" s="9">
        <f t="shared" si="2"/>
        <v>0</v>
      </c>
      <c r="F164" s="10"/>
      <c r="G164" s="10"/>
      <c r="H164" s="10"/>
      <c r="I164" s="10"/>
    </row>
    <row r="165" spans="1:9" x14ac:dyDescent="0.25">
      <c r="A165" s="15" t="str">
        <f>IFERROR(IF(#REF!="","",IFERROR(#REF!,"")),"")</f>
        <v/>
      </c>
      <c r="B165" s="15"/>
      <c r="C165" s="15"/>
      <c r="D165" s="28"/>
      <c r="E165" s="9">
        <f t="shared" si="2"/>
        <v>0</v>
      </c>
      <c r="F165" s="10"/>
      <c r="G165" s="10"/>
      <c r="H165" s="10"/>
      <c r="I165" s="10"/>
    </row>
    <row r="166" spans="1:9" x14ac:dyDescent="0.25">
      <c r="A166" s="15" t="str">
        <f>IFERROR(IF(#REF!="","",IFERROR(#REF!,"")),"")</f>
        <v/>
      </c>
      <c r="B166" s="15"/>
      <c r="C166" s="15"/>
      <c r="D166" s="28"/>
      <c r="E166" s="9">
        <f t="shared" si="2"/>
        <v>0</v>
      </c>
      <c r="F166" s="10"/>
      <c r="G166" s="10"/>
      <c r="H166" s="10"/>
      <c r="I166" s="10"/>
    </row>
    <row r="167" spans="1:9" x14ac:dyDescent="0.25">
      <c r="A167" s="15" t="str">
        <f>IFERROR(IF(#REF!="","",IFERROR(#REF!,"")),"")</f>
        <v/>
      </c>
      <c r="B167" s="15"/>
      <c r="C167" s="15"/>
      <c r="D167" s="28"/>
      <c r="E167" s="9">
        <f t="shared" si="2"/>
        <v>0</v>
      </c>
      <c r="F167" s="10"/>
      <c r="G167" s="10"/>
      <c r="H167" s="10"/>
      <c r="I167" s="10"/>
    </row>
    <row r="168" spans="1:9" x14ac:dyDescent="0.25">
      <c r="A168" s="15" t="str">
        <f>IFERROR(IF(#REF!="","",IFERROR(#REF!,"")),"")</f>
        <v/>
      </c>
      <c r="B168" s="15"/>
      <c r="C168" s="15"/>
      <c r="D168" s="28"/>
      <c r="E168" s="9">
        <f t="shared" si="2"/>
        <v>0</v>
      </c>
      <c r="F168" s="10"/>
      <c r="G168" s="10"/>
      <c r="H168" s="10"/>
      <c r="I168" s="10"/>
    </row>
    <row r="169" spans="1:9" x14ac:dyDescent="0.25">
      <c r="A169" s="15" t="str">
        <f>IFERROR(IF(#REF!="","",IFERROR(#REF!,"")),"")</f>
        <v/>
      </c>
      <c r="B169" s="15"/>
      <c r="C169" s="15"/>
      <c r="D169" s="28"/>
      <c r="E169" s="9">
        <f t="shared" si="2"/>
        <v>0</v>
      </c>
      <c r="F169" s="10"/>
      <c r="G169" s="10"/>
      <c r="H169" s="10"/>
      <c r="I169" s="10"/>
    </row>
    <row r="170" spans="1:9" x14ac:dyDescent="0.25">
      <c r="A170" s="15" t="str">
        <f>IFERROR(IF(#REF!="","",IFERROR(#REF!,"")),"")</f>
        <v/>
      </c>
      <c r="B170" s="15"/>
      <c r="C170" s="15"/>
      <c r="D170" s="28"/>
      <c r="E170" s="9">
        <f t="shared" si="2"/>
        <v>0</v>
      </c>
      <c r="F170" s="10"/>
      <c r="G170" s="10"/>
      <c r="H170" s="10"/>
      <c r="I170" s="10"/>
    </row>
    <row r="171" spans="1:9" x14ac:dyDescent="0.25">
      <c r="A171" s="15" t="str">
        <f>IFERROR(IF(#REF!="","",IFERROR(#REF!,"")),"")</f>
        <v/>
      </c>
      <c r="B171" s="15"/>
      <c r="C171" s="15"/>
      <c r="D171" s="28"/>
      <c r="E171" s="9">
        <f t="shared" si="2"/>
        <v>0</v>
      </c>
      <c r="F171" s="10"/>
      <c r="G171" s="10"/>
      <c r="H171" s="10"/>
      <c r="I171" s="10"/>
    </row>
    <row r="172" spans="1:9" x14ac:dyDescent="0.25">
      <c r="A172" s="15" t="str">
        <f>IFERROR(IF(#REF!="","",IFERROR(#REF!,"")),"")</f>
        <v/>
      </c>
      <c r="B172" s="15"/>
      <c r="C172" s="15"/>
      <c r="D172" s="28"/>
      <c r="E172" s="9">
        <f t="shared" si="2"/>
        <v>0</v>
      </c>
      <c r="F172" s="10"/>
      <c r="G172" s="10"/>
      <c r="H172" s="10"/>
      <c r="I172" s="10"/>
    </row>
    <row r="173" spans="1:9" x14ac:dyDescent="0.25">
      <c r="A173" s="15" t="str">
        <f>IFERROR(IF(#REF!="","",IFERROR(#REF!,"")),"")</f>
        <v/>
      </c>
      <c r="B173" s="15"/>
      <c r="C173" s="15"/>
      <c r="D173" s="28"/>
      <c r="E173" s="9">
        <f t="shared" si="2"/>
        <v>0</v>
      </c>
      <c r="F173" s="10"/>
      <c r="G173" s="10"/>
      <c r="H173" s="10"/>
      <c r="I173" s="10"/>
    </row>
    <row r="174" spans="1:9" x14ac:dyDescent="0.25">
      <c r="A174" s="15" t="str">
        <f>IFERROR(IF(#REF!="","",IFERROR(#REF!,"")),"")</f>
        <v/>
      </c>
      <c r="B174" s="15"/>
      <c r="C174" s="15"/>
      <c r="D174" s="28"/>
      <c r="E174" s="9">
        <f t="shared" si="2"/>
        <v>0</v>
      </c>
      <c r="F174" s="10"/>
      <c r="G174" s="10"/>
      <c r="H174" s="10"/>
      <c r="I174" s="10"/>
    </row>
    <row r="175" spans="1:9" x14ac:dyDescent="0.25">
      <c r="A175" s="15" t="str">
        <f>IFERROR(IF(#REF!="","",IFERROR(#REF!,"")),"")</f>
        <v/>
      </c>
      <c r="B175" s="15"/>
      <c r="C175" s="15"/>
      <c r="D175" s="28"/>
      <c r="E175" s="9">
        <f t="shared" si="2"/>
        <v>0</v>
      </c>
      <c r="F175" s="10"/>
      <c r="G175" s="10"/>
      <c r="H175" s="10"/>
      <c r="I175" s="10"/>
    </row>
    <row r="176" spans="1:9" x14ac:dyDescent="0.25">
      <c r="A176" s="15" t="str">
        <f>IFERROR(IF(#REF!="","",IFERROR(#REF!,"")),"")</f>
        <v/>
      </c>
      <c r="B176" s="15"/>
      <c r="C176" s="15"/>
      <c r="D176" s="28"/>
      <c r="E176" s="9">
        <f t="shared" si="2"/>
        <v>0</v>
      </c>
      <c r="F176" s="10"/>
      <c r="G176" s="10"/>
      <c r="H176" s="10"/>
      <c r="I176" s="10"/>
    </row>
    <row r="199" spans="2:3" ht="60" customHeight="1" x14ac:dyDescent="0.25">
      <c r="B199" s="199" t="s">
        <v>488</v>
      </c>
      <c r="C199" s="199"/>
    </row>
    <row r="200" spans="2:3" x14ac:dyDescent="0.25">
      <c r="B200" s="115" t="s">
        <v>22</v>
      </c>
      <c r="C200" s="115" t="s">
        <v>286</v>
      </c>
    </row>
    <row r="201" spans="2:3" x14ac:dyDescent="0.25">
      <c r="B201" s="114" t="e">
        <f>#REF!</f>
        <v>#REF!</v>
      </c>
      <c r="C201" s="25" t="e">
        <f>#REF!</f>
        <v>#REF!</v>
      </c>
    </row>
    <row r="202" spans="2:3" x14ac:dyDescent="0.25">
      <c r="B202" s="25" t="e">
        <f>#REF!</f>
        <v>#REF!</v>
      </c>
      <c r="C202" s="25" t="e">
        <f>#REF!</f>
        <v>#REF!</v>
      </c>
    </row>
    <row r="203" spans="2:3" x14ac:dyDescent="0.25">
      <c r="B203" s="25" t="e">
        <f>#REF!</f>
        <v>#REF!</v>
      </c>
      <c r="C203" s="25" t="e">
        <f>#REF!</f>
        <v>#REF!</v>
      </c>
    </row>
    <row r="204" spans="2:3" x14ac:dyDescent="0.25">
      <c r="B204" s="25" t="e">
        <f>#REF!</f>
        <v>#REF!</v>
      </c>
      <c r="C204" s="25" t="e">
        <f>#REF!</f>
        <v>#REF!</v>
      </c>
    </row>
    <row r="205" spans="2:3" x14ac:dyDescent="0.25">
      <c r="B205" s="25" t="e">
        <f>#REF!</f>
        <v>#REF!</v>
      </c>
      <c r="C205" s="25" t="e">
        <f>#REF!</f>
        <v>#REF!</v>
      </c>
    </row>
    <row r="206" spans="2:3" x14ac:dyDescent="0.25">
      <c r="B206" s="25" t="e">
        <f>#REF!</f>
        <v>#REF!</v>
      </c>
      <c r="C206" s="25" t="e">
        <f>#REF!</f>
        <v>#REF!</v>
      </c>
    </row>
    <row r="207" spans="2:3" x14ac:dyDescent="0.25">
      <c r="B207" s="25" t="e">
        <f>#REF!</f>
        <v>#REF!</v>
      </c>
      <c r="C207" s="25" t="e">
        <f>#REF!</f>
        <v>#REF!</v>
      </c>
    </row>
    <row r="208" spans="2:3" x14ac:dyDescent="0.25">
      <c r="B208" s="25" t="e">
        <f>#REF!</f>
        <v>#REF!</v>
      </c>
      <c r="C208" s="25" t="e">
        <f>#REF!</f>
        <v>#REF!</v>
      </c>
    </row>
    <row r="209" spans="2:3" x14ac:dyDescent="0.25">
      <c r="B209" s="25" t="e">
        <f>#REF!</f>
        <v>#REF!</v>
      </c>
      <c r="C209" s="25" t="e">
        <f>#REF!</f>
        <v>#REF!</v>
      </c>
    </row>
    <row r="210" spans="2:3" x14ac:dyDescent="0.25">
      <c r="B210" s="25" t="e">
        <f>#REF!</f>
        <v>#REF!</v>
      </c>
      <c r="C210" s="25" t="e">
        <f>#REF!</f>
        <v>#REF!</v>
      </c>
    </row>
    <row r="211" spans="2:3" x14ac:dyDescent="0.25">
      <c r="B211" s="25" t="e">
        <f>#REF!</f>
        <v>#REF!</v>
      </c>
      <c r="C211" s="25" t="e">
        <f>#REF!</f>
        <v>#REF!</v>
      </c>
    </row>
    <row r="212" spans="2:3" x14ac:dyDescent="0.25">
      <c r="B212" s="25" t="e">
        <f>#REF!</f>
        <v>#REF!</v>
      </c>
      <c r="C212" s="25" t="e">
        <f>#REF!</f>
        <v>#REF!</v>
      </c>
    </row>
    <row r="213" spans="2:3" x14ac:dyDescent="0.25">
      <c r="B213" s="25" t="e">
        <f>#REF!</f>
        <v>#REF!</v>
      </c>
      <c r="C213" s="25" t="e">
        <f>#REF!</f>
        <v>#REF!</v>
      </c>
    </row>
    <row r="214" spans="2:3" x14ac:dyDescent="0.25">
      <c r="B214" s="25" t="e">
        <f>#REF!</f>
        <v>#REF!</v>
      </c>
      <c r="C214" s="25" t="e">
        <f>#REF!</f>
        <v>#REF!</v>
      </c>
    </row>
    <row r="215" spans="2:3" x14ac:dyDescent="0.25">
      <c r="B215" s="25" t="e">
        <f>#REF!</f>
        <v>#REF!</v>
      </c>
      <c r="C215" s="25" t="e">
        <f>#REF!</f>
        <v>#REF!</v>
      </c>
    </row>
    <row r="216" spans="2:3" x14ac:dyDescent="0.25">
      <c r="B216" s="25" t="e">
        <f>#REF!</f>
        <v>#REF!</v>
      </c>
      <c r="C216" s="25" t="e">
        <f>#REF!</f>
        <v>#REF!</v>
      </c>
    </row>
    <row r="217" spans="2:3" x14ac:dyDescent="0.25">
      <c r="B217" s="25" t="e">
        <f>#REF!</f>
        <v>#REF!</v>
      </c>
      <c r="C217" s="25" t="e">
        <f>#REF!</f>
        <v>#REF!</v>
      </c>
    </row>
    <row r="218" spans="2:3" x14ac:dyDescent="0.25">
      <c r="B218" s="25" t="e">
        <f>#REF!</f>
        <v>#REF!</v>
      </c>
      <c r="C218" s="25" t="e">
        <f>#REF!</f>
        <v>#REF!</v>
      </c>
    </row>
    <row r="219" spans="2:3" x14ac:dyDescent="0.25">
      <c r="B219" s="25" t="e">
        <f>#REF!</f>
        <v>#REF!</v>
      </c>
      <c r="C219" s="25" t="e">
        <f>#REF!</f>
        <v>#REF!</v>
      </c>
    </row>
    <row r="220" spans="2:3" x14ac:dyDescent="0.25">
      <c r="B220" s="25" t="e">
        <f>#REF!</f>
        <v>#REF!</v>
      </c>
      <c r="C220" s="25" t="e">
        <f>#REF!</f>
        <v>#REF!</v>
      </c>
    </row>
    <row r="221" spans="2:3" x14ac:dyDescent="0.25">
      <c r="B221" s="25" t="e">
        <f>#REF!</f>
        <v>#REF!</v>
      </c>
      <c r="C221" s="25" t="e">
        <f>#REF!</f>
        <v>#REF!</v>
      </c>
    </row>
    <row r="222" spans="2:3" x14ac:dyDescent="0.25">
      <c r="B222" s="25" t="e">
        <f>#REF!</f>
        <v>#REF!</v>
      </c>
      <c r="C222" s="25" t="e">
        <f>#REF!</f>
        <v>#REF!</v>
      </c>
    </row>
    <row r="223" spans="2:3" x14ac:dyDescent="0.25">
      <c r="B223" s="25" t="e">
        <f>#REF!</f>
        <v>#REF!</v>
      </c>
      <c r="C223" s="25" t="e">
        <f>#REF!</f>
        <v>#REF!</v>
      </c>
    </row>
    <row r="224" spans="2:3" x14ac:dyDescent="0.25">
      <c r="B224" s="25" t="e">
        <f>#REF!</f>
        <v>#REF!</v>
      </c>
      <c r="C224" s="25" t="e">
        <f>#REF!</f>
        <v>#REF!</v>
      </c>
    </row>
    <row r="225" spans="2:3" x14ac:dyDescent="0.25">
      <c r="B225" s="25" t="e">
        <f>#REF!</f>
        <v>#REF!</v>
      </c>
      <c r="C225" s="25" t="e">
        <f>#REF!</f>
        <v>#REF!</v>
      </c>
    </row>
    <row r="226" spans="2:3" x14ac:dyDescent="0.25">
      <c r="B226" s="25" t="e">
        <f>#REF!</f>
        <v>#REF!</v>
      </c>
      <c r="C226" s="25" t="e">
        <f>#REF!</f>
        <v>#REF!</v>
      </c>
    </row>
    <row r="227" spans="2:3" x14ac:dyDescent="0.25">
      <c r="B227" s="25" t="e">
        <f>#REF!</f>
        <v>#REF!</v>
      </c>
      <c r="C227" s="25" t="e">
        <f>#REF!</f>
        <v>#REF!</v>
      </c>
    </row>
    <row r="228" spans="2:3" x14ac:dyDescent="0.25">
      <c r="B228" s="25" t="e">
        <f>#REF!</f>
        <v>#REF!</v>
      </c>
      <c r="C228" s="25" t="e">
        <f>#REF!</f>
        <v>#REF!</v>
      </c>
    </row>
    <row r="229" spans="2:3" x14ac:dyDescent="0.25">
      <c r="B229" s="25" t="e">
        <f>#REF!</f>
        <v>#REF!</v>
      </c>
      <c r="C229" s="25" t="e">
        <f>#REF!</f>
        <v>#REF!</v>
      </c>
    </row>
    <row r="230" spans="2:3" x14ac:dyDescent="0.25">
      <c r="B230" s="25" t="e">
        <f>#REF!</f>
        <v>#REF!</v>
      </c>
      <c r="C230" s="25" t="e">
        <f>#REF!</f>
        <v>#REF!</v>
      </c>
    </row>
    <row r="231" spans="2:3" x14ac:dyDescent="0.25">
      <c r="B231" s="25" t="e">
        <f>#REF!</f>
        <v>#REF!</v>
      </c>
      <c r="C231" s="25" t="e">
        <f>#REF!</f>
        <v>#REF!</v>
      </c>
    </row>
    <row r="232" spans="2:3" x14ac:dyDescent="0.25">
      <c r="B232" s="25" t="e">
        <f>#REF!</f>
        <v>#REF!</v>
      </c>
      <c r="C232" s="25" t="e">
        <f>#REF!</f>
        <v>#REF!</v>
      </c>
    </row>
  </sheetData>
  <sheetProtection algorithmName="SHA-512" hashValue="NN+R2kF9FS/Y/xFUCGfxw3eSIBEqEwZzMad4vtxY4Uu1Ud/wAv1s3WtbyGeESfNfZiqEQYF5m6tPCj5LKQ8cYA==" saltValue="5zFO+ZYt/o9OIry0HcDzZQ==" spinCount="100000" sheet="1" objects="1" scenarios="1" selectLockedCells="1" selectUnlockedCells="1"/>
  <mergeCells count="7">
    <mergeCell ref="A8:J8"/>
    <mergeCell ref="B199:C199"/>
    <mergeCell ref="A11:K11"/>
    <mergeCell ref="A9:J9"/>
    <mergeCell ref="A10:J10"/>
    <mergeCell ref="A12:J12"/>
    <mergeCell ref="C14:J1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920B049C-C268-48DA-A520-DF0FE25FF984}">
          <x14:formula1>
            <xm:f>'Factors and Tables'!$C$17:$C$20</xm:f>
          </x14:formula1>
          <xm:sqref>B14</xm:sqref>
        </x14:dataValidation>
        <x14:dataValidation type="list" allowBlank="1" showInputMessage="1" showErrorMessage="1" xr:uid="{B9F806DC-B9C6-486C-BFD4-5AA45A239BBD}">
          <x14:formula1>
            <xm:f>'Factors and Tables'!$A$17:$A$28</xm:f>
          </x14:formula1>
          <xm:sqref>C22:C176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E41C7-AD82-4C8D-A7D9-D3186FCFF3DC}">
  <dimension ref="A1:N81"/>
  <sheetViews>
    <sheetView zoomScale="90" zoomScaleNormal="90" workbookViewId="0">
      <selection activeCell="A26" sqref="A26:L26"/>
    </sheetView>
  </sheetViews>
  <sheetFormatPr defaultRowHeight="15" x14ac:dyDescent="0.25"/>
  <cols>
    <col min="1" max="1" width="37.5703125" customWidth="1"/>
    <col min="2" max="2" width="38" customWidth="1"/>
    <col min="4" max="4" width="10.5703125" bestFit="1" customWidth="1"/>
    <col min="10" max="10" width="10.28515625" bestFit="1" customWidth="1"/>
  </cols>
  <sheetData>
    <row r="1" spans="1:14" ht="18.75" x14ac:dyDescent="0.3">
      <c r="A1" s="1" t="str">
        <f>_xlfn.CONCAT(Summary!B7," - Unmetered Streetlighting - ",Summary!B9)</f>
        <v xml:space="preserve"> - Unmetered Streetlighting - </v>
      </c>
    </row>
    <row r="2" spans="1:14" ht="18.75" x14ac:dyDescent="0.3">
      <c r="A2" s="1"/>
    </row>
    <row r="3" spans="1:14" x14ac:dyDescent="0.25">
      <c r="A3" s="58" t="s">
        <v>232</v>
      </c>
      <c r="B3" s="59">
        <f>SUM(C23:N23)</f>
        <v>0</v>
      </c>
      <c r="C3" s="3"/>
      <c r="E3" s="130"/>
    </row>
    <row r="4" spans="1:14" x14ac:dyDescent="0.25">
      <c r="A4" s="58" t="s">
        <v>495</v>
      </c>
      <c r="B4" s="136">
        <f>IF(B3="Need to select data entry method at B12","",B3/1000*3.6)</f>
        <v>0</v>
      </c>
    </row>
    <row r="5" spans="1:14" ht="30" x14ac:dyDescent="0.25">
      <c r="A5" s="58" t="s">
        <v>543</v>
      </c>
      <c r="B5" s="149" t="e">
        <f>B3/1000*HLOOKUP(Summary!B9,'Factors and Tables'!B5:N6,2,FALSE)</f>
        <v>#N/A</v>
      </c>
    </row>
    <row r="6" spans="1:14" x14ac:dyDescent="0.25">
      <c r="A6" t="s">
        <v>68</v>
      </c>
    </row>
    <row r="7" spans="1:14" x14ac:dyDescent="0.25">
      <c r="A7" s="97" t="s">
        <v>569</v>
      </c>
    </row>
    <row r="8" spans="1:14" x14ac:dyDescent="0.25">
      <c r="A8" t="s">
        <v>570</v>
      </c>
    </row>
    <row r="9" spans="1:14" x14ac:dyDescent="0.25">
      <c r="A9" t="s">
        <v>571</v>
      </c>
    </row>
    <row r="10" spans="1:14" x14ac:dyDescent="0.25">
      <c r="A10" t="s">
        <v>572</v>
      </c>
    </row>
    <row r="11" spans="1:14" x14ac:dyDescent="0.25">
      <c r="A11" t="s">
        <v>234</v>
      </c>
    </row>
    <row r="13" spans="1:14" ht="18" customHeight="1" x14ac:dyDescent="0.25">
      <c r="A13" s="48" t="s">
        <v>215</v>
      </c>
      <c r="B13" s="49" t="s">
        <v>240</v>
      </c>
      <c r="C13" s="204" t="s">
        <v>230</v>
      </c>
      <c r="D13" s="197"/>
      <c r="E13" s="197"/>
      <c r="F13" s="197"/>
      <c r="G13" s="197"/>
      <c r="H13" s="197"/>
      <c r="I13" s="197"/>
      <c r="J13" s="197"/>
      <c r="K13" s="197"/>
      <c r="L13" s="197"/>
      <c r="M13" s="197"/>
      <c r="N13" s="197"/>
    </row>
    <row r="14" spans="1:14" ht="16.5" customHeight="1" x14ac:dyDescent="0.25">
      <c r="A14" s="65"/>
      <c r="B14" s="65"/>
      <c r="C14" s="36"/>
      <c r="D14" s="36"/>
      <c r="E14" s="36"/>
      <c r="F14" s="36"/>
      <c r="G14" s="36"/>
      <c r="H14" s="36"/>
      <c r="I14" s="36"/>
      <c r="J14" s="36"/>
      <c r="K14" s="36"/>
      <c r="L14" s="36"/>
      <c r="M14" s="36"/>
      <c r="N14" s="36"/>
    </row>
    <row r="15" spans="1:14" x14ac:dyDescent="0.25">
      <c r="A15" s="3" t="s">
        <v>250</v>
      </c>
    </row>
    <row r="16" spans="1:14" ht="30" customHeight="1" x14ac:dyDescent="0.25">
      <c r="A16" s="58" t="s">
        <v>233</v>
      </c>
      <c r="B16" s="140"/>
      <c r="C16" s="205" t="s">
        <v>489</v>
      </c>
      <c r="D16" s="190"/>
      <c r="E16" s="190"/>
      <c r="F16" s="190"/>
      <c r="G16" s="190"/>
      <c r="H16" s="190"/>
      <c r="I16" s="190"/>
      <c r="J16" s="190"/>
      <c r="K16" s="190"/>
      <c r="L16" s="190"/>
      <c r="M16" s="190"/>
      <c r="N16" s="190"/>
    </row>
    <row r="17" spans="1:14" ht="18.75" x14ac:dyDescent="0.3">
      <c r="A17" s="1"/>
    </row>
    <row r="18" spans="1:14" x14ac:dyDescent="0.25">
      <c r="A18" s="17" t="s">
        <v>236</v>
      </c>
      <c r="B18" s="8"/>
      <c r="C18" s="6" t="s">
        <v>248</v>
      </c>
      <c r="D18" s="6" t="s">
        <v>246</v>
      </c>
      <c r="E18" s="6" t="s">
        <v>10</v>
      </c>
      <c r="F18" s="6" t="s">
        <v>11</v>
      </c>
      <c r="G18" s="6" t="s">
        <v>12</v>
      </c>
      <c r="H18" s="6" t="s">
        <v>13</v>
      </c>
      <c r="I18" s="6" t="s">
        <v>14</v>
      </c>
      <c r="J18" s="6" t="s">
        <v>15</v>
      </c>
      <c r="K18" s="6" t="s">
        <v>16</v>
      </c>
      <c r="L18" s="6" t="s">
        <v>17</v>
      </c>
      <c r="M18" s="6" t="s">
        <v>18</v>
      </c>
      <c r="N18" s="6" t="s">
        <v>19</v>
      </c>
    </row>
    <row r="19" spans="1:14" x14ac:dyDescent="0.25">
      <c r="A19" s="139" t="s">
        <v>237</v>
      </c>
      <c r="B19" s="137"/>
      <c r="C19" s="138"/>
      <c r="D19" s="138"/>
      <c r="E19" s="138"/>
      <c r="F19" s="138"/>
      <c r="G19" s="138"/>
      <c r="H19" s="138"/>
      <c r="I19" s="138"/>
      <c r="J19" s="138"/>
      <c r="K19" s="138"/>
      <c r="L19" s="138"/>
      <c r="M19" s="138"/>
      <c r="N19" s="138"/>
    </row>
    <row r="20" spans="1:14" x14ac:dyDescent="0.25">
      <c r="A20" s="61"/>
      <c r="B20" s="62"/>
      <c r="C20" s="63"/>
      <c r="D20" s="63"/>
      <c r="E20" s="63"/>
      <c r="F20" s="63"/>
      <c r="G20" s="63"/>
      <c r="H20" s="63"/>
      <c r="I20" s="63"/>
      <c r="J20" s="63"/>
      <c r="K20" s="63"/>
      <c r="L20" s="63"/>
      <c r="M20" s="63"/>
      <c r="N20" s="63"/>
    </row>
    <row r="21" spans="1:14" x14ac:dyDescent="0.25">
      <c r="A21" s="12" t="s">
        <v>242</v>
      </c>
    </row>
    <row r="22" spans="1:14" x14ac:dyDescent="0.25">
      <c r="A22" s="3" t="s">
        <v>251</v>
      </c>
      <c r="C22" s="6" t="str">
        <f>C18</f>
        <v>Jul</v>
      </c>
      <c r="D22" s="6" t="str">
        <f t="shared" ref="D22:N22" si="0">D18</f>
        <v>Aug</v>
      </c>
      <c r="E22" s="6" t="str">
        <f t="shared" si="0"/>
        <v>Sep</v>
      </c>
      <c r="F22" s="6" t="str">
        <f t="shared" si="0"/>
        <v>Oct</v>
      </c>
      <c r="G22" s="6" t="str">
        <f t="shared" si="0"/>
        <v>Nov</v>
      </c>
      <c r="H22" s="6" t="str">
        <f t="shared" si="0"/>
        <v>Dec</v>
      </c>
      <c r="I22" s="6" t="str">
        <f t="shared" si="0"/>
        <v>Jan</v>
      </c>
      <c r="J22" s="6" t="str">
        <f t="shared" si="0"/>
        <v>Feb</v>
      </c>
      <c r="K22" s="6" t="str">
        <f t="shared" si="0"/>
        <v>Mar</v>
      </c>
      <c r="L22" s="6" t="str">
        <f t="shared" si="0"/>
        <v>Apr</v>
      </c>
      <c r="M22" s="6" t="str">
        <f t="shared" si="0"/>
        <v>May</v>
      </c>
      <c r="N22" s="6" t="str">
        <f t="shared" si="0"/>
        <v>Jun</v>
      </c>
    </row>
    <row r="23" spans="1:14" x14ac:dyDescent="0.25">
      <c r="B23" s="18" t="s">
        <v>252</v>
      </c>
      <c r="C23" s="60">
        <f>SUMPRODUCT($B30:$B81,C30:C81)*'Factors and Tables'!$B$30/1000*'Factors and Tables'!B32</f>
        <v>0</v>
      </c>
      <c r="D23" s="60">
        <f>SUMPRODUCT($B30:$B81,D30:D81)*'Factors and Tables'!$B$30/1000*'Factors and Tables'!C32</f>
        <v>0</v>
      </c>
      <c r="E23" s="60">
        <f>SUMPRODUCT($B30:$B81,E30:E81)*'Factors and Tables'!$B$30/1000*'Factors and Tables'!D32</f>
        <v>0</v>
      </c>
      <c r="F23" s="60">
        <f>SUMPRODUCT($B30:$B81,F30:F81)*'Factors and Tables'!$B$30/1000*'Factors and Tables'!E32</f>
        <v>0</v>
      </c>
      <c r="G23" s="60">
        <f>SUMPRODUCT($B30:$B81,G30:G81)*'Factors and Tables'!$B$30/1000*'Factors and Tables'!F32</f>
        <v>0</v>
      </c>
      <c r="H23" s="60">
        <f>SUMPRODUCT($B30:$B81,H30:H81)*'Factors and Tables'!$B$30/1000*'Factors and Tables'!G32</f>
        <v>0</v>
      </c>
      <c r="I23" s="60">
        <f>SUMPRODUCT($B30:$B81,I30:I81)*'Factors and Tables'!$B$30/1000*'Factors and Tables'!H32</f>
        <v>0</v>
      </c>
      <c r="J23" s="60">
        <f>SUMPRODUCT($B30:$B81,J30:J81)*'Factors and Tables'!$B$30/1000*'Factors and Tables'!I32</f>
        <v>0</v>
      </c>
      <c r="K23" s="60">
        <f>SUMPRODUCT($B30:$B81,K30:K81)*'Factors and Tables'!$B$30/1000*'Factors and Tables'!J32</f>
        <v>0</v>
      </c>
      <c r="L23" s="60">
        <f>SUMPRODUCT($B30:$B81,L30:L81)*'Factors and Tables'!$B$30/1000*'Factors and Tables'!K32</f>
        <v>0</v>
      </c>
      <c r="M23" s="60">
        <f>SUMPRODUCT($B30:$B81,M30:M81)*'Factors and Tables'!$B$30/1000*'Factors and Tables'!L32</f>
        <v>0</v>
      </c>
      <c r="N23" s="60">
        <f>SUMPRODUCT($B30:$B81,N30:N81)*'Factors and Tables'!$B$30/1000*'Factors and Tables'!M32</f>
        <v>0</v>
      </c>
    </row>
    <row r="24" spans="1:14" x14ac:dyDescent="0.25">
      <c r="B24" s="18" t="s">
        <v>249</v>
      </c>
      <c r="C24" s="60">
        <f>SUM(C30:C81)</f>
        <v>0</v>
      </c>
      <c r="D24" s="60">
        <f t="shared" ref="D24:N24" si="1">SUM(D30:D81)</f>
        <v>0</v>
      </c>
      <c r="E24" s="60">
        <f t="shared" si="1"/>
        <v>0</v>
      </c>
      <c r="F24" s="60">
        <f t="shared" si="1"/>
        <v>0</v>
      </c>
      <c r="G24" s="60">
        <f t="shared" si="1"/>
        <v>0</v>
      </c>
      <c r="H24" s="60">
        <f t="shared" si="1"/>
        <v>0</v>
      </c>
      <c r="I24" s="60">
        <f t="shared" si="1"/>
        <v>0</v>
      </c>
      <c r="J24" s="60">
        <f t="shared" si="1"/>
        <v>0</v>
      </c>
      <c r="K24" s="60">
        <f t="shared" si="1"/>
        <v>0</v>
      </c>
      <c r="L24" s="60">
        <f t="shared" si="1"/>
        <v>0</v>
      </c>
      <c r="M24" s="60">
        <f t="shared" si="1"/>
        <v>0</v>
      </c>
      <c r="N24" s="60">
        <f t="shared" si="1"/>
        <v>0</v>
      </c>
    </row>
    <row r="25" spans="1:14" ht="27.75" customHeight="1" x14ac:dyDescent="0.25">
      <c r="A25" s="2" t="s">
        <v>553</v>
      </c>
      <c r="B25" s="20">
        <f>'Factors and Tables'!B30</f>
        <v>12.5</v>
      </c>
      <c r="C25" s="63"/>
      <c r="D25" s="63"/>
      <c r="E25" s="63"/>
      <c r="F25" s="63"/>
      <c r="G25" s="63"/>
      <c r="H25" s="63"/>
      <c r="I25" s="63"/>
      <c r="J25" s="63"/>
      <c r="K25" s="63"/>
      <c r="L25" s="63"/>
      <c r="M25" s="63"/>
      <c r="N25" s="63"/>
    </row>
    <row r="26" spans="1:14" ht="22.5" customHeight="1" x14ac:dyDescent="0.25">
      <c r="A26" s="206" t="s">
        <v>568</v>
      </c>
      <c r="B26" s="206"/>
      <c r="C26" s="206"/>
      <c r="D26" s="206"/>
      <c r="E26" s="206"/>
      <c r="F26" s="206"/>
      <c r="G26" s="206"/>
      <c r="H26" s="206"/>
      <c r="I26" s="206"/>
      <c r="J26" s="206"/>
      <c r="K26" s="206"/>
      <c r="L26" s="206"/>
      <c r="M26" s="63"/>
      <c r="N26" s="63"/>
    </row>
    <row r="27" spans="1:14" ht="22.5" customHeight="1" x14ac:dyDescent="0.25">
      <c r="A27" s="4"/>
      <c r="B27" s="8" t="s">
        <v>243</v>
      </c>
      <c r="C27" s="64" t="str">
        <f t="shared" ref="C27:N27" si="2">C22</f>
        <v>Jul</v>
      </c>
      <c r="D27" s="64" t="str">
        <f t="shared" si="2"/>
        <v>Aug</v>
      </c>
      <c r="E27" s="64" t="str">
        <f t="shared" si="2"/>
        <v>Sep</v>
      </c>
      <c r="F27" s="64" t="str">
        <f t="shared" si="2"/>
        <v>Oct</v>
      </c>
      <c r="G27" s="64" t="str">
        <f t="shared" si="2"/>
        <v>Nov</v>
      </c>
      <c r="H27" s="64" t="str">
        <f t="shared" si="2"/>
        <v>Dec</v>
      </c>
      <c r="I27" s="64" t="str">
        <f t="shared" si="2"/>
        <v>Jan</v>
      </c>
      <c r="J27" s="64" t="str">
        <f t="shared" si="2"/>
        <v>Feb</v>
      </c>
      <c r="K27" s="64" t="str">
        <f t="shared" si="2"/>
        <v>Mar</v>
      </c>
      <c r="L27" s="64" t="str">
        <f t="shared" si="2"/>
        <v>Apr</v>
      </c>
      <c r="M27" s="64" t="str">
        <f t="shared" si="2"/>
        <v>May</v>
      </c>
      <c r="N27" s="64" t="str">
        <f t="shared" si="2"/>
        <v>Jun</v>
      </c>
    </row>
    <row r="28" spans="1:14" ht="22.5" customHeight="1" x14ac:dyDescent="0.25">
      <c r="A28" s="4"/>
      <c r="B28" s="118" t="s">
        <v>490</v>
      </c>
      <c r="C28" s="4">
        <v>31</v>
      </c>
      <c r="D28" s="4">
        <v>31</v>
      </c>
      <c r="E28" s="4">
        <v>30</v>
      </c>
      <c r="F28" s="4">
        <v>31</v>
      </c>
      <c r="G28" s="4">
        <v>30</v>
      </c>
      <c r="H28" s="4">
        <v>31</v>
      </c>
      <c r="I28" s="16">
        <v>31</v>
      </c>
      <c r="J28" s="4">
        <f>IF(Summary!B9="",28,HLOOKUP(Summary!B9,'Factors and Tables'!B5:R11,7,FALSE))</f>
        <v>28</v>
      </c>
      <c r="K28" s="4">
        <v>31</v>
      </c>
      <c r="L28" s="4">
        <v>30</v>
      </c>
      <c r="M28" s="4">
        <v>31</v>
      </c>
      <c r="N28" s="4">
        <v>30</v>
      </c>
    </row>
    <row r="29" spans="1:14" x14ac:dyDescent="0.25">
      <c r="A29" s="48" t="s">
        <v>247</v>
      </c>
      <c r="B29" s="117" t="s">
        <v>39</v>
      </c>
      <c r="C29" s="116"/>
      <c r="D29" s="116"/>
      <c r="E29" s="116"/>
      <c r="F29" s="116"/>
      <c r="G29" s="116"/>
      <c r="H29" s="116"/>
      <c r="I29" s="116"/>
      <c r="J29" s="116"/>
      <c r="K29" s="116"/>
      <c r="L29" s="116"/>
      <c r="M29" s="116"/>
      <c r="N29" s="116"/>
    </row>
    <row r="30" spans="1:14" x14ac:dyDescent="0.25">
      <c r="A30" s="4" t="str">
        <f>'Factors and Tables'!A39</f>
        <v>Incandescent 60 watts</v>
      </c>
      <c r="B30" s="13">
        <f>'Factors and Tables'!B39</f>
        <v>60</v>
      </c>
      <c r="C30" s="14">
        <f>'Data Input'!B13</f>
        <v>0</v>
      </c>
      <c r="D30" s="14">
        <f>C30</f>
        <v>0</v>
      </c>
      <c r="E30" s="14">
        <f t="shared" ref="E30:N30" si="3">D30</f>
        <v>0</v>
      </c>
      <c r="F30" s="14">
        <f t="shared" si="3"/>
        <v>0</v>
      </c>
      <c r="G30" s="14">
        <f t="shared" si="3"/>
        <v>0</v>
      </c>
      <c r="H30" s="14">
        <f t="shared" si="3"/>
        <v>0</v>
      </c>
      <c r="I30" s="14">
        <f t="shared" si="3"/>
        <v>0</v>
      </c>
      <c r="J30" s="14">
        <f t="shared" si="3"/>
        <v>0</v>
      </c>
      <c r="K30" s="14">
        <f t="shared" si="3"/>
        <v>0</v>
      </c>
      <c r="L30" s="14">
        <f t="shared" si="3"/>
        <v>0</v>
      </c>
      <c r="M30" s="14">
        <f t="shared" si="3"/>
        <v>0</v>
      </c>
      <c r="N30" s="14">
        <f t="shared" si="3"/>
        <v>0</v>
      </c>
    </row>
    <row r="31" spans="1:14" x14ac:dyDescent="0.25">
      <c r="A31" s="4" t="str">
        <f>'Factors and Tables'!A40</f>
        <v>Incandescent 100 watts</v>
      </c>
      <c r="B31" s="13">
        <f>'Factors and Tables'!B40</f>
        <v>100</v>
      </c>
      <c r="C31" s="14">
        <f>'Data Input'!B14</f>
        <v>0</v>
      </c>
      <c r="D31" s="14">
        <f t="shared" ref="D31:N31" si="4">C31</f>
        <v>0</v>
      </c>
      <c r="E31" s="14">
        <f t="shared" si="4"/>
        <v>0</v>
      </c>
      <c r="F31" s="14">
        <f t="shared" si="4"/>
        <v>0</v>
      </c>
      <c r="G31" s="14">
        <f t="shared" si="4"/>
        <v>0</v>
      </c>
      <c r="H31" s="14">
        <f t="shared" si="4"/>
        <v>0</v>
      </c>
      <c r="I31" s="14">
        <f t="shared" si="4"/>
        <v>0</v>
      </c>
      <c r="J31" s="14">
        <f t="shared" si="4"/>
        <v>0</v>
      </c>
      <c r="K31" s="14">
        <f t="shared" si="4"/>
        <v>0</v>
      </c>
      <c r="L31" s="14">
        <f t="shared" si="4"/>
        <v>0</v>
      </c>
      <c r="M31" s="14">
        <f t="shared" si="4"/>
        <v>0</v>
      </c>
      <c r="N31" s="14">
        <f t="shared" si="4"/>
        <v>0</v>
      </c>
    </row>
    <row r="32" spans="1:14" x14ac:dyDescent="0.25">
      <c r="A32" s="4" t="str">
        <f>'Factors and Tables'!A41</f>
        <v>Mercury vapour 50 watts</v>
      </c>
      <c r="B32" s="13">
        <f>'Factors and Tables'!B41</f>
        <v>65</v>
      </c>
      <c r="C32" s="14">
        <f>'Data Input'!B15</f>
        <v>0</v>
      </c>
      <c r="D32" s="14">
        <f t="shared" ref="D32:N32" si="5">C32</f>
        <v>0</v>
      </c>
      <c r="E32" s="14">
        <f t="shared" si="5"/>
        <v>0</v>
      </c>
      <c r="F32" s="14">
        <f t="shared" si="5"/>
        <v>0</v>
      </c>
      <c r="G32" s="14">
        <f t="shared" si="5"/>
        <v>0</v>
      </c>
      <c r="H32" s="14">
        <f t="shared" si="5"/>
        <v>0</v>
      </c>
      <c r="I32" s="14">
        <f t="shared" si="5"/>
        <v>0</v>
      </c>
      <c r="J32" s="14">
        <f t="shared" si="5"/>
        <v>0</v>
      </c>
      <c r="K32" s="14">
        <f t="shared" si="5"/>
        <v>0</v>
      </c>
      <c r="L32" s="14">
        <f t="shared" si="5"/>
        <v>0</v>
      </c>
      <c r="M32" s="14">
        <f t="shared" si="5"/>
        <v>0</v>
      </c>
      <c r="N32" s="14">
        <f t="shared" si="5"/>
        <v>0</v>
      </c>
    </row>
    <row r="33" spans="1:14" x14ac:dyDescent="0.25">
      <c r="A33" s="4" t="str">
        <f>'Factors and Tables'!A42</f>
        <v>Mercury vapour 80 watts</v>
      </c>
      <c r="B33" s="13">
        <f>'Factors and Tables'!B42</f>
        <v>95.8</v>
      </c>
      <c r="C33" s="14">
        <f>'Data Input'!B16</f>
        <v>0</v>
      </c>
      <c r="D33" s="14">
        <f t="shared" ref="D33:N33" si="6">C33</f>
        <v>0</v>
      </c>
      <c r="E33" s="14">
        <f t="shared" si="6"/>
        <v>0</v>
      </c>
      <c r="F33" s="14">
        <f t="shared" si="6"/>
        <v>0</v>
      </c>
      <c r="G33" s="14">
        <f t="shared" si="6"/>
        <v>0</v>
      </c>
      <c r="H33" s="14">
        <f t="shared" si="6"/>
        <v>0</v>
      </c>
      <c r="I33" s="14">
        <f t="shared" si="6"/>
        <v>0</v>
      </c>
      <c r="J33" s="14">
        <f t="shared" si="6"/>
        <v>0</v>
      </c>
      <c r="K33" s="14">
        <f t="shared" si="6"/>
        <v>0</v>
      </c>
      <c r="L33" s="14">
        <f t="shared" si="6"/>
        <v>0</v>
      </c>
      <c r="M33" s="14">
        <f t="shared" si="6"/>
        <v>0</v>
      </c>
      <c r="N33" s="14">
        <f t="shared" si="6"/>
        <v>0</v>
      </c>
    </row>
    <row r="34" spans="1:14" x14ac:dyDescent="0.25">
      <c r="A34" s="4" t="str">
        <f>'Factors and Tables'!A43</f>
        <v>Mercury vapour 125 watts</v>
      </c>
      <c r="B34" s="13">
        <f>'Factors and Tables'!B43</f>
        <v>142</v>
      </c>
      <c r="C34" s="14">
        <f>'Data Input'!B17</f>
        <v>0</v>
      </c>
      <c r="D34" s="14">
        <f t="shared" ref="D34:N34" si="7">C34</f>
        <v>0</v>
      </c>
      <c r="E34" s="14">
        <f t="shared" si="7"/>
        <v>0</v>
      </c>
      <c r="F34" s="14">
        <f t="shared" si="7"/>
        <v>0</v>
      </c>
      <c r="G34" s="14">
        <f t="shared" si="7"/>
        <v>0</v>
      </c>
      <c r="H34" s="14">
        <f t="shared" si="7"/>
        <v>0</v>
      </c>
      <c r="I34" s="14">
        <f t="shared" si="7"/>
        <v>0</v>
      </c>
      <c r="J34" s="14">
        <f t="shared" si="7"/>
        <v>0</v>
      </c>
      <c r="K34" s="14">
        <f t="shared" si="7"/>
        <v>0</v>
      </c>
      <c r="L34" s="14">
        <f t="shared" si="7"/>
        <v>0</v>
      </c>
      <c r="M34" s="14">
        <f t="shared" si="7"/>
        <v>0</v>
      </c>
      <c r="N34" s="14">
        <f t="shared" si="7"/>
        <v>0</v>
      </c>
    </row>
    <row r="35" spans="1:14" x14ac:dyDescent="0.25">
      <c r="A35" s="4" t="str">
        <f>'Factors and Tables'!A44</f>
        <v>Mercury vapour 250 watts</v>
      </c>
      <c r="B35" s="13">
        <f>'Factors and Tables'!B44</f>
        <v>270</v>
      </c>
      <c r="C35" s="14">
        <f>'Data Input'!B18</f>
        <v>0</v>
      </c>
      <c r="D35" s="14">
        <f t="shared" ref="D35:N35" si="8">C35</f>
        <v>0</v>
      </c>
      <c r="E35" s="14">
        <f t="shared" si="8"/>
        <v>0</v>
      </c>
      <c r="F35" s="14">
        <f t="shared" si="8"/>
        <v>0</v>
      </c>
      <c r="G35" s="14">
        <f t="shared" si="8"/>
        <v>0</v>
      </c>
      <c r="H35" s="14">
        <f t="shared" si="8"/>
        <v>0</v>
      </c>
      <c r="I35" s="14">
        <f t="shared" si="8"/>
        <v>0</v>
      </c>
      <c r="J35" s="14">
        <f t="shared" si="8"/>
        <v>0</v>
      </c>
      <c r="K35" s="14">
        <f t="shared" si="8"/>
        <v>0</v>
      </c>
      <c r="L35" s="14">
        <f t="shared" si="8"/>
        <v>0</v>
      </c>
      <c r="M35" s="14">
        <f t="shared" si="8"/>
        <v>0</v>
      </c>
      <c r="N35" s="14">
        <f t="shared" si="8"/>
        <v>0</v>
      </c>
    </row>
    <row r="36" spans="1:14" x14ac:dyDescent="0.25">
      <c r="A36" s="4" t="str">
        <f>'Factors and Tables'!A45</f>
        <v>Mercury vapour 400 watts</v>
      </c>
      <c r="B36" s="13">
        <f>'Factors and Tables'!B45</f>
        <v>430</v>
      </c>
      <c r="C36" s="14">
        <f>'Data Input'!B19</f>
        <v>0</v>
      </c>
      <c r="D36" s="14">
        <f t="shared" ref="D36:N36" si="9">C36</f>
        <v>0</v>
      </c>
      <c r="E36" s="14">
        <f t="shared" si="9"/>
        <v>0</v>
      </c>
      <c r="F36" s="14">
        <f t="shared" si="9"/>
        <v>0</v>
      </c>
      <c r="G36" s="14">
        <f t="shared" si="9"/>
        <v>0</v>
      </c>
      <c r="H36" s="14">
        <f t="shared" si="9"/>
        <v>0</v>
      </c>
      <c r="I36" s="14">
        <f t="shared" si="9"/>
        <v>0</v>
      </c>
      <c r="J36" s="14">
        <f t="shared" si="9"/>
        <v>0</v>
      </c>
      <c r="K36" s="14">
        <f t="shared" si="9"/>
        <v>0</v>
      </c>
      <c r="L36" s="14">
        <f t="shared" si="9"/>
        <v>0</v>
      </c>
      <c r="M36" s="14">
        <f t="shared" si="9"/>
        <v>0</v>
      </c>
      <c r="N36" s="14">
        <f t="shared" si="9"/>
        <v>0</v>
      </c>
    </row>
    <row r="37" spans="1:14" x14ac:dyDescent="0.25">
      <c r="A37" s="4" t="str">
        <f>'Factors and Tables'!A46</f>
        <v>Fluorescent 1x20 watts</v>
      </c>
      <c r="B37" s="13">
        <f>'Factors and Tables'!B46</f>
        <v>29</v>
      </c>
      <c r="C37" s="14">
        <f>'Data Input'!B20</f>
        <v>0</v>
      </c>
      <c r="D37" s="14">
        <f t="shared" ref="D37:N37" si="10">C37</f>
        <v>0</v>
      </c>
      <c r="E37" s="14">
        <f t="shared" si="10"/>
        <v>0</v>
      </c>
      <c r="F37" s="14">
        <f t="shared" si="10"/>
        <v>0</v>
      </c>
      <c r="G37" s="14">
        <f t="shared" si="10"/>
        <v>0</v>
      </c>
      <c r="H37" s="14">
        <f t="shared" si="10"/>
        <v>0</v>
      </c>
      <c r="I37" s="14">
        <f t="shared" si="10"/>
        <v>0</v>
      </c>
      <c r="J37" s="14">
        <f t="shared" si="10"/>
        <v>0</v>
      </c>
      <c r="K37" s="14">
        <f t="shared" si="10"/>
        <v>0</v>
      </c>
      <c r="L37" s="14">
        <f t="shared" si="10"/>
        <v>0</v>
      </c>
      <c r="M37" s="14">
        <f t="shared" si="10"/>
        <v>0</v>
      </c>
      <c r="N37" s="14">
        <f t="shared" si="10"/>
        <v>0</v>
      </c>
    </row>
    <row r="38" spans="1:14" x14ac:dyDescent="0.25">
      <c r="A38" s="4" t="str">
        <f>'Factors and Tables'!A47</f>
        <v>Fluorescent 1x40 watts</v>
      </c>
      <c r="B38" s="13">
        <f>'Factors and Tables'!B47</f>
        <v>50</v>
      </c>
      <c r="C38" s="14">
        <f>'Data Input'!B21</f>
        <v>0</v>
      </c>
      <c r="D38" s="14">
        <f t="shared" ref="D38:N38" si="11">C38</f>
        <v>0</v>
      </c>
      <c r="E38" s="14">
        <f t="shared" si="11"/>
        <v>0</v>
      </c>
      <c r="F38" s="14">
        <f t="shared" si="11"/>
        <v>0</v>
      </c>
      <c r="G38" s="14">
        <f t="shared" si="11"/>
        <v>0</v>
      </c>
      <c r="H38" s="14">
        <f t="shared" si="11"/>
        <v>0</v>
      </c>
      <c r="I38" s="14">
        <f t="shared" si="11"/>
        <v>0</v>
      </c>
      <c r="J38" s="14">
        <f t="shared" si="11"/>
        <v>0</v>
      </c>
      <c r="K38" s="14">
        <f t="shared" si="11"/>
        <v>0</v>
      </c>
      <c r="L38" s="14">
        <f t="shared" si="11"/>
        <v>0</v>
      </c>
      <c r="M38" s="14">
        <f t="shared" si="11"/>
        <v>0</v>
      </c>
      <c r="N38" s="14">
        <f t="shared" si="11"/>
        <v>0</v>
      </c>
    </row>
    <row r="39" spans="1:14" x14ac:dyDescent="0.25">
      <c r="A39" s="4" t="str">
        <f>'Factors and Tables'!A48</f>
        <v>Fluorescent 2x20 watts</v>
      </c>
      <c r="B39" s="13">
        <f>'Factors and Tables'!B48</f>
        <v>50</v>
      </c>
      <c r="C39" s="14">
        <f>'Data Input'!B22</f>
        <v>0</v>
      </c>
      <c r="D39" s="14">
        <f t="shared" ref="D39:N39" si="12">C39</f>
        <v>0</v>
      </c>
      <c r="E39" s="14">
        <f t="shared" si="12"/>
        <v>0</v>
      </c>
      <c r="F39" s="14">
        <f t="shared" si="12"/>
        <v>0</v>
      </c>
      <c r="G39" s="14">
        <f t="shared" si="12"/>
        <v>0</v>
      </c>
      <c r="H39" s="14">
        <f t="shared" si="12"/>
        <v>0</v>
      </c>
      <c r="I39" s="14">
        <f t="shared" si="12"/>
        <v>0</v>
      </c>
      <c r="J39" s="14">
        <f t="shared" si="12"/>
        <v>0</v>
      </c>
      <c r="K39" s="14">
        <f t="shared" si="12"/>
        <v>0</v>
      </c>
      <c r="L39" s="14">
        <f t="shared" si="12"/>
        <v>0</v>
      </c>
      <c r="M39" s="14">
        <f t="shared" si="12"/>
        <v>0</v>
      </c>
      <c r="N39" s="14">
        <f t="shared" si="12"/>
        <v>0</v>
      </c>
    </row>
    <row r="40" spans="1:14" x14ac:dyDescent="0.25">
      <c r="A40" s="4" t="str">
        <f>'Factors and Tables'!A49</f>
        <v>Fluorescent T5 2x24 watts</v>
      </c>
      <c r="B40" s="13">
        <f>'Factors and Tables'!B49</f>
        <v>47</v>
      </c>
      <c r="C40" s="14">
        <f>'Data Input'!B23</f>
        <v>0</v>
      </c>
      <c r="D40" s="14">
        <f t="shared" ref="D40:N40" si="13">C40</f>
        <v>0</v>
      </c>
      <c r="E40" s="14">
        <f t="shared" si="13"/>
        <v>0</v>
      </c>
      <c r="F40" s="14">
        <f t="shared" si="13"/>
        <v>0</v>
      </c>
      <c r="G40" s="14">
        <f t="shared" si="13"/>
        <v>0</v>
      </c>
      <c r="H40" s="14">
        <f t="shared" si="13"/>
        <v>0</v>
      </c>
      <c r="I40" s="14">
        <f t="shared" si="13"/>
        <v>0</v>
      </c>
      <c r="J40" s="14">
        <f t="shared" si="13"/>
        <v>0</v>
      </c>
      <c r="K40" s="14">
        <f t="shared" si="13"/>
        <v>0</v>
      </c>
      <c r="L40" s="14">
        <f t="shared" si="13"/>
        <v>0</v>
      </c>
      <c r="M40" s="14">
        <f t="shared" si="13"/>
        <v>0</v>
      </c>
      <c r="N40" s="14">
        <f t="shared" si="13"/>
        <v>0</v>
      </c>
    </row>
    <row r="41" spans="1:14" x14ac:dyDescent="0.25">
      <c r="A41" s="4" t="str">
        <f>'Factors and Tables'!A50</f>
        <v>Fluorescent 2x40 watts</v>
      </c>
      <c r="B41" s="13">
        <f>'Factors and Tables'!B50</f>
        <v>100</v>
      </c>
      <c r="C41" s="14">
        <f>'Data Input'!B24</f>
        <v>0</v>
      </c>
      <c r="D41" s="14">
        <f t="shared" ref="D41:N41" si="14">C41</f>
        <v>0</v>
      </c>
      <c r="E41" s="14">
        <f t="shared" si="14"/>
        <v>0</v>
      </c>
      <c r="F41" s="14">
        <f t="shared" si="14"/>
        <v>0</v>
      </c>
      <c r="G41" s="14">
        <f t="shared" si="14"/>
        <v>0</v>
      </c>
      <c r="H41" s="14">
        <f t="shared" si="14"/>
        <v>0</v>
      </c>
      <c r="I41" s="14">
        <f t="shared" si="14"/>
        <v>0</v>
      </c>
      <c r="J41" s="14">
        <f t="shared" si="14"/>
        <v>0</v>
      </c>
      <c r="K41" s="14">
        <f t="shared" si="14"/>
        <v>0</v>
      </c>
      <c r="L41" s="14">
        <f t="shared" si="14"/>
        <v>0</v>
      </c>
      <c r="M41" s="14">
        <f t="shared" si="14"/>
        <v>0</v>
      </c>
      <c r="N41" s="14">
        <f t="shared" si="14"/>
        <v>0</v>
      </c>
    </row>
    <row r="42" spans="1:14" x14ac:dyDescent="0.25">
      <c r="A42" s="4" t="str">
        <f>'Factors and Tables'!A51</f>
        <v>Fluorescent 3x40 watts</v>
      </c>
      <c r="B42" s="13">
        <f>'Factors and Tables'!B51</f>
        <v>150</v>
      </c>
      <c r="C42" s="14">
        <f>'Data Input'!B25</f>
        <v>0</v>
      </c>
      <c r="D42" s="14">
        <f t="shared" ref="D42:N42" si="15">C42</f>
        <v>0</v>
      </c>
      <c r="E42" s="14">
        <f t="shared" si="15"/>
        <v>0</v>
      </c>
      <c r="F42" s="14">
        <f t="shared" si="15"/>
        <v>0</v>
      </c>
      <c r="G42" s="14">
        <f t="shared" si="15"/>
        <v>0</v>
      </c>
      <c r="H42" s="14">
        <f t="shared" si="15"/>
        <v>0</v>
      </c>
      <c r="I42" s="14">
        <f t="shared" si="15"/>
        <v>0</v>
      </c>
      <c r="J42" s="14">
        <f t="shared" si="15"/>
        <v>0</v>
      </c>
      <c r="K42" s="14">
        <f t="shared" si="15"/>
        <v>0</v>
      </c>
      <c r="L42" s="14">
        <f t="shared" si="15"/>
        <v>0</v>
      </c>
      <c r="M42" s="14">
        <f t="shared" si="15"/>
        <v>0</v>
      </c>
      <c r="N42" s="14">
        <f t="shared" si="15"/>
        <v>0</v>
      </c>
    </row>
    <row r="43" spans="1:14" x14ac:dyDescent="0.25">
      <c r="A43" s="4" t="str">
        <f>'Factors and Tables'!A52</f>
        <v>Fluorescent 4x20 watts</v>
      </c>
      <c r="B43" s="13">
        <f>'Factors and Tables'!B52</f>
        <v>100</v>
      </c>
      <c r="C43" s="14">
        <f>'Data Input'!B26</f>
        <v>0</v>
      </c>
      <c r="D43" s="14">
        <f t="shared" ref="D43:N43" si="16">C43</f>
        <v>0</v>
      </c>
      <c r="E43" s="14">
        <f t="shared" si="16"/>
        <v>0</v>
      </c>
      <c r="F43" s="14">
        <f t="shared" si="16"/>
        <v>0</v>
      </c>
      <c r="G43" s="14">
        <f t="shared" si="16"/>
        <v>0</v>
      </c>
      <c r="H43" s="14">
        <f t="shared" si="16"/>
        <v>0</v>
      </c>
      <c r="I43" s="14">
        <f t="shared" si="16"/>
        <v>0</v>
      </c>
      <c r="J43" s="14">
        <f t="shared" si="16"/>
        <v>0</v>
      </c>
      <c r="K43" s="14">
        <f t="shared" si="16"/>
        <v>0</v>
      </c>
      <c r="L43" s="14">
        <f t="shared" si="16"/>
        <v>0</v>
      </c>
      <c r="M43" s="14">
        <f t="shared" si="16"/>
        <v>0</v>
      </c>
      <c r="N43" s="14">
        <f t="shared" si="16"/>
        <v>0</v>
      </c>
    </row>
    <row r="44" spans="1:14" x14ac:dyDescent="0.25">
      <c r="A44" s="4" t="str">
        <f>'Factors and Tables'!A53</f>
        <v>Fluorescent 4x40 watts</v>
      </c>
      <c r="B44" s="13">
        <f>'Factors and Tables'!B53</f>
        <v>200</v>
      </c>
      <c r="C44" s="14">
        <f>'Data Input'!B27</f>
        <v>0</v>
      </c>
      <c r="D44" s="14">
        <f t="shared" ref="D44:N44" si="17">C44</f>
        <v>0</v>
      </c>
      <c r="E44" s="14">
        <f t="shared" si="17"/>
        <v>0</v>
      </c>
      <c r="F44" s="14">
        <f t="shared" si="17"/>
        <v>0</v>
      </c>
      <c r="G44" s="14">
        <f t="shared" si="17"/>
        <v>0</v>
      </c>
      <c r="H44" s="14">
        <f t="shared" si="17"/>
        <v>0</v>
      </c>
      <c r="I44" s="14">
        <f t="shared" si="17"/>
        <v>0</v>
      </c>
      <c r="J44" s="14">
        <f t="shared" si="17"/>
        <v>0</v>
      </c>
      <c r="K44" s="14">
        <f t="shared" si="17"/>
        <v>0</v>
      </c>
      <c r="L44" s="14">
        <f t="shared" si="17"/>
        <v>0</v>
      </c>
      <c r="M44" s="14">
        <f t="shared" si="17"/>
        <v>0</v>
      </c>
      <c r="N44" s="14">
        <f t="shared" si="17"/>
        <v>0</v>
      </c>
    </row>
    <row r="45" spans="1:14" x14ac:dyDescent="0.25">
      <c r="A45" s="4" t="str">
        <f>'Factors and Tables'!A54</f>
        <v>Compact Fluorescent (CFL) 32 watts</v>
      </c>
      <c r="B45" s="13">
        <f>'Factors and Tables'!B54</f>
        <v>36.6</v>
      </c>
      <c r="C45" s="14">
        <f>'Data Input'!B28</f>
        <v>0</v>
      </c>
      <c r="D45" s="14">
        <f t="shared" ref="D45:N45" si="18">C45</f>
        <v>0</v>
      </c>
      <c r="E45" s="14">
        <f t="shared" si="18"/>
        <v>0</v>
      </c>
      <c r="F45" s="14">
        <f t="shared" si="18"/>
        <v>0</v>
      </c>
      <c r="G45" s="14">
        <f t="shared" si="18"/>
        <v>0</v>
      </c>
      <c r="H45" s="14">
        <f t="shared" si="18"/>
        <v>0</v>
      </c>
      <c r="I45" s="14">
        <f t="shared" si="18"/>
        <v>0</v>
      </c>
      <c r="J45" s="14">
        <f t="shared" si="18"/>
        <v>0</v>
      </c>
      <c r="K45" s="14">
        <f t="shared" si="18"/>
        <v>0</v>
      </c>
      <c r="L45" s="14">
        <f t="shared" si="18"/>
        <v>0</v>
      </c>
      <c r="M45" s="14">
        <f t="shared" si="18"/>
        <v>0</v>
      </c>
      <c r="N45" s="14">
        <f t="shared" si="18"/>
        <v>0</v>
      </c>
    </row>
    <row r="46" spans="1:14" x14ac:dyDescent="0.25">
      <c r="A46" s="4" t="str">
        <f>'Factors and Tables'!A55</f>
        <v>Compact Fluorescent (CFL) 42 watts</v>
      </c>
      <c r="B46" s="13">
        <f>'Factors and Tables'!B55</f>
        <v>46.4</v>
      </c>
      <c r="C46" s="14">
        <f>'Data Input'!B29</f>
        <v>0</v>
      </c>
      <c r="D46" s="14">
        <f t="shared" ref="D46:N46" si="19">C46</f>
        <v>0</v>
      </c>
      <c r="E46" s="14">
        <f t="shared" si="19"/>
        <v>0</v>
      </c>
      <c r="F46" s="14">
        <f t="shared" si="19"/>
        <v>0</v>
      </c>
      <c r="G46" s="14">
        <f t="shared" si="19"/>
        <v>0</v>
      </c>
      <c r="H46" s="14">
        <f t="shared" si="19"/>
        <v>0</v>
      </c>
      <c r="I46" s="14">
        <f t="shared" si="19"/>
        <v>0</v>
      </c>
      <c r="J46" s="14">
        <f t="shared" si="19"/>
        <v>0</v>
      </c>
      <c r="K46" s="14">
        <f t="shared" si="19"/>
        <v>0</v>
      </c>
      <c r="L46" s="14">
        <f t="shared" si="19"/>
        <v>0</v>
      </c>
      <c r="M46" s="14">
        <f t="shared" si="19"/>
        <v>0</v>
      </c>
      <c r="N46" s="14">
        <f t="shared" si="19"/>
        <v>0</v>
      </c>
    </row>
    <row r="47" spans="1:14" x14ac:dyDescent="0.25">
      <c r="A47" s="4" t="str">
        <f>'Factors and Tables'!A56</f>
        <v>Sodium vapour 70 watts</v>
      </c>
      <c r="B47" s="13">
        <f>'Factors and Tables'!B56</f>
        <v>86</v>
      </c>
      <c r="C47" s="14">
        <f>'Data Input'!B30</f>
        <v>0</v>
      </c>
      <c r="D47" s="14">
        <f t="shared" ref="D47:N47" si="20">C47</f>
        <v>0</v>
      </c>
      <c r="E47" s="14">
        <f t="shared" si="20"/>
        <v>0</v>
      </c>
      <c r="F47" s="14">
        <f t="shared" si="20"/>
        <v>0</v>
      </c>
      <c r="G47" s="14">
        <f t="shared" si="20"/>
        <v>0</v>
      </c>
      <c r="H47" s="14">
        <f t="shared" si="20"/>
        <v>0</v>
      </c>
      <c r="I47" s="14">
        <f t="shared" si="20"/>
        <v>0</v>
      </c>
      <c r="J47" s="14">
        <f t="shared" si="20"/>
        <v>0</v>
      </c>
      <c r="K47" s="14">
        <f t="shared" si="20"/>
        <v>0</v>
      </c>
      <c r="L47" s="14">
        <f t="shared" si="20"/>
        <v>0</v>
      </c>
      <c r="M47" s="14">
        <f t="shared" si="20"/>
        <v>0</v>
      </c>
      <c r="N47" s="14">
        <f t="shared" si="20"/>
        <v>0</v>
      </c>
    </row>
    <row r="48" spans="1:14" x14ac:dyDescent="0.25">
      <c r="A48" s="4" t="str">
        <f>'Factors and Tables'!A57</f>
        <v>Sodium vapour 100 watts</v>
      </c>
      <c r="B48" s="13">
        <f>'Factors and Tables'!B57</f>
        <v>120</v>
      </c>
      <c r="C48" s="14">
        <f>'Data Input'!B31</f>
        <v>0</v>
      </c>
      <c r="D48" s="14">
        <f t="shared" ref="D48:N48" si="21">C48</f>
        <v>0</v>
      </c>
      <c r="E48" s="14">
        <f t="shared" si="21"/>
        <v>0</v>
      </c>
      <c r="F48" s="14">
        <f t="shared" si="21"/>
        <v>0</v>
      </c>
      <c r="G48" s="14">
        <f t="shared" si="21"/>
        <v>0</v>
      </c>
      <c r="H48" s="14">
        <f t="shared" si="21"/>
        <v>0</v>
      </c>
      <c r="I48" s="14">
        <f t="shared" si="21"/>
        <v>0</v>
      </c>
      <c r="J48" s="14">
        <f t="shared" si="21"/>
        <v>0</v>
      </c>
      <c r="K48" s="14">
        <f t="shared" si="21"/>
        <v>0</v>
      </c>
      <c r="L48" s="14">
        <f t="shared" si="21"/>
        <v>0</v>
      </c>
      <c r="M48" s="14">
        <f t="shared" si="21"/>
        <v>0</v>
      </c>
      <c r="N48" s="14">
        <f t="shared" si="21"/>
        <v>0</v>
      </c>
    </row>
    <row r="49" spans="1:14" x14ac:dyDescent="0.25">
      <c r="A49" s="4" t="str">
        <f>'Factors and Tables'!A58</f>
        <v>Sodium vapour 150 watts</v>
      </c>
      <c r="B49" s="13">
        <f>'Factors and Tables'!B58</f>
        <v>173</v>
      </c>
      <c r="C49" s="14">
        <f>'Data Input'!B32</f>
        <v>0</v>
      </c>
      <c r="D49" s="14">
        <f t="shared" ref="D49:N49" si="22">C49</f>
        <v>0</v>
      </c>
      <c r="E49" s="14">
        <f t="shared" si="22"/>
        <v>0</v>
      </c>
      <c r="F49" s="14">
        <f t="shared" si="22"/>
        <v>0</v>
      </c>
      <c r="G49" s="14">
        <f t="shared" si="22"/>
        <v>0</v>
      </c>
      <c r="H49" s="14">
        <f t="shared" si="22"/>
        <v>0</v>
      </c>
      <c r="I49" s="14">
        <f t="shared" si="22"/>
        <v>0</v>
      </c>
      <c r="J49" s="14">
        <f t="shared" si="22"/>
        <v>0</v>
      </c>
      <c r="K49" s="14">
        <f t="shared" si="22"/>
        <v>0</v>
      </c>
      <c r="L49" s="14">
        <f t="shared" si="22"/>
        <v>0</v>
      </c>
      <c r="M49" s="14">
        <f t="shared" si="22"/>
        <v>0</v>
      </c>
      <c r="N49" s="14">
        <f t="shared" si="22"/>
        <v>0</v>
      </c>
    </row>
    <row r="50" spans="1:14" x14ac:dyDescent="0.25">
      <c r="A50" s="4" t="str">
        <f>'Factors and Tables'!A59</f>
        <v>Sodium vapour 250 watts</v>
      </c>
      <c r="B50" s="13">
        <f>'Factors and Tables'!B59</f>
        <v>273</v>
      </c>
      <c r="C50" s="14">
        <f>'Data Input'!B33</f>
        <v>0</v>
      </c>
      <c r="D50" s="14">
        <f t="shared" ref="D50:N50" si="23">C50</f>
        <v>0</v>
      </c>
      <c r="E50" s="14">
        <f t="shared" si="23"/>
        <v>0</v>
      </c>
      <c r="F50" s="14">
        <f t="shared" si="23"/>
        <v>0</v>
      </c>
      <c r="G50" s="14">
        <f t="shared" si="23"/>
        <v>0</v>
      </c>
      <c r="H50" s="14">
        <f t="shared" si="23"/>
        <v>0</v>
      </c>
      <c r="I50" s="14">
        <f t="shared" si="23"/>
        <v>0</v>
      </c>
      <c r="J50" s="14">
        <f t="shared" si="23"/>
        <v>0</v>
      </c>
      <c r="K50" s="14">
        <f t="shared" si="23"/>
        <v>0</v>
      </c>
      <c r="L50" s="14">
        <f t="shared" si="23"/>
        <v>0</v>
      </c>
      <c r="M50" s="14">
        <f t="shared" si="23"/>
        <v>0</v>
      </c>
      <c r="N50" s="14">
        <f t="shared" si="23"/>
        <v>0</v>
      </c>
    </row>
    <row r="51" spans="1:14" ht="16.5" customHeight="1" x14ac:dyDescent="0.25">
      <c r="A51" s="4" t="str">
        <f>'Factors and Tables'!A60</f>
        <v>Sodium vapour 400 watts</v>
      </c>
      <c r="B51" s="13">
        <f>'Factors and Tables'!B60</f>
        <v>440</v>
      </c>
      <c r="C51" s="14">
        <f>'Data Input'!B34</f>
        <v>0</v>
      </c>
      <c r="D51" s="14">
        <f t="shared" ref="D51:N51" si="24">C51</f>
        <v>0</v>
      </c>
      <c r="E51" s="14">
        <f t="shared" si="24"/>
        <v>0</v>
      </c>
      <c r="F51" s="14">
        <f t="shared" si="24"/>
        <v>0</v>
      </c>
      <c r="G51" s="14">
        <f t="shared" si="24"/>
        <v>0</v>
      </c>
      <c r="H51" s="14">
        <f t="shared" si="24"/>
        <v>0</v>
      </c>
      <c r="I51" s="14">
        <f t="shared" si="24"/>
        <v>0</v>
      </c>
      <c r="J51" s="14">
        <f t="shared" si="24"/>
        <v>0</v>
      </c>
      <c r="K51" s="14">
        <f t="shared" si="24"/>
        <v>0</v>
      </c>
      <c r="L51" s="14">
        <f t="shared" si="24"/>
        <v>0</v>
      </c>
      <c r="M51" s="14">
        <f t="shared" si="24"/>
        <v>0</v>
      </c>
      <c r="N51" s="14">
        <f t="shared" si="24"/>
        <v>0</v>
      </c>
    </row>
    <row r="52" spans="1:14" ht="16.5" customHeight="1" x14ac:dyDescent="0.25">
      <c r="A52" s="4" t="str">
        <f>'Factors and Tables'!A61</f>
        <v>Sodium vapour 2x400 watts</v>
      </c>
      <c r="B52" s="13">
        <f>'Factors and Tables'!B61</f>
        <v>880</v>
      </c>
      <c r="C52" s="14">
        <f>'Data Input'!B35</f>
        <v>0</v>
      </c>
      <c r="D52" s="14">
        <f t="shared" ref="D52:N52" si="25">C52</f>
        <v>0</v>
      </c>
      <c r="E52" s="14">
        <f t="shared" si="25"/>
        <v>0</v>
      </c>
      <c r="F52" s="14">
        <f t="shared" si="25"/>
        <v>0</v>
      </c>
      <c r="G52" s="14">
        <f t="shared" si="25"/>
        <v>0</v>
      </c>
      <c r="H52" s="14">
        <f t="shared" si="25"/>
        <v>0</v>
      </c>
      <c r="I52" s="14">
        <f t="shared" si="25"/>
        <v>0</v>
      </c>
      <c r="J52" s="14">
        <f t="shared" si="25"/>
        <v>0</v>
      </c>
      <c r="K52" s="14">
        <f t="shared" si="25"/>
        <v>0</v>
      </c>
      <c r="L52" s="14">
        <f t="shared" si="25"/>
        <v>0</v>
      </c>
      <c r="M52" s="14">
        <f t="shared" si="25"/>
        <v>0</v>
      </c>
      <c r="N52" s="14">
        <f t="shared" si="25"/>
        <v>0</v>
      </c>
    </row>
    <row r="53" spans="1:14" x14ac:dyDescent="0.25">
      <c r="A53" s="4" t="str">
        <f>'Factors and Tables'!A62</f>
        <v>Metal Halide 70 watts</v>
      </c>
      <c r="B53" s="13">
        <f>'Factors and Tables'!B62</f>
        <v>85.3</v>
      </c>
      <c r="C53" s="14">
        <f>'Data Input'!B36</f>
        <v>0</v>
      </c>
      <c r="D53" s="14">
        <f t="shared" ref="D53:N53" si="26">C53</f>
        <v>0</v>
      </c>
      <c r="E53" s="14">
        <f t="shared" si="26"/>
        <v>0</v>
      </c>
      <c r="F53" s="14">
        <f t="shared" si="26"/>
        <v>0</v>
      </c>
      <c r="G53" s="14">
        <f t="shared" si="26"/>
        <v>0</v>
      </c>
      <c r="H53" s="14">
        <f t="shared" si="26"/>
        <v>0</v>
      </c>
      <c r="I53" s="14">
        <f t="shared" si="26"/>
        <v>0</v>
      </c>
      <c r="J53" s="14">
        <f t="shared" si="26"/>
        <v>0</v>
      </c>
      <c r="K53" s="14">
        <f t="shared" si="26"/>
        <v>0</v>
      </c>
      <c r="L53" s="14">
        <f t="shared" si="26"/>
        <v>0</v>
      </c>
      <c r="M53" s="14">
        <f t="shared" si="26"/>
        <v>0</v>
      </c>
      <c r="N53" s="14">
        <f t="shared" si="26"/>
        <v>0</v>
      </c>
    </row>
    <row r="54" spans="1:14" x14ac:dyDescent="0.25">
      <c r="A54" s="4" t="str">
        <f>'Factors and Tables'!A63</f>
        <v>Metal Halide 100 watts</v>
      </c>
      <c r="B54" s="13">
        <f>'Factors and Tables'!B63</f>
        <v>115.7</v>
      </c>
      <c r="C54" s="14">
        <f>'Data Input'!B37</f>
        <v>0</v>
      </c>
      <c r="D54" s="14">
        <f t="shared" ref="D54:N54" si="27">C54</f>
        <v>0</v>
      </c>
      <c r="E54" s="14">
        <f t="shared" si="27"/>
        <v>0</v>
      </c>
      <c r="F54" s="14">
        <f t="shared" si="27"/>
        <v>0</v>
      </c>
      <c r="G54" s="14">
        <f t="shared" si="27"/>
        <v>0</v>
      </c>
      <c r="H54" s="14">
        <f t="shared" si="27"/>
        <v>0</v>
      </c>
      <c r="I54" s="14">
        <f t="shared" si="27"/>
        <v>0</v>
      </c>
      <c r="J54" s="14">
        <f t="shared" si="27"/>
        <v>0</v>
      </c>
      <c r="K54" s="14">
        <f t="shared" si="27"/>
        <v>0</v>
      </c>
      <c r="L54" s="14">
        <f t="shared" si="27"/>
        <v>0</v>
      </c>
      <c r="M54" s="14">
        <f t="shared" si="27"/>
        <v>0</v>
      </c>
      <c r="N54" s="14">
        <f t="shared" si="27"/>
        <v>0</v>
      </c>
    </row>
    <row r="55" spans="1:14" x14ac:dyDescent="0.25">
      <c r="A55" s="4" t="str">
        <f>'Factors and Tables'!A64</f>
        <v>Metal Halide 150 watts</v>
      </c>
      <c r="B55" s="13">
        <f>'Factors and Tables'!B64</f>
        <v>173</v>
      </c>
      <c r="C55" s="14">
        <f>'Data Input'!B38</f>
        <v>0</v>
      </c>
      <c r="D55" s="14">
        <f t="shared" ref="D55:N55" si="28">C55</f>
        <v>0</v>
      </c>
      <c r="E55" s="14">
        <f t="shared" si="28"/>
        <v>0</v>
      </c>
      <c r="F55" s="14">
        <f t="shared" si="28"/>
        <v>0</v>
      </c>
      <c r="G55" s="14">
        <f t="shared" si="28"/>
        <v>0</v>
      </c>
      <c r="H55" s="14">
        <f t="shared" si="28"/>
        <v>0</v>
      </c>
      <c r="I55" s="14">
        <f t="shared" si="28"/>
        <v>0</v>
      </c>
      <c r="J55" s="14">
        <f t="shared" si="28"/>
        <v>0</v>
      </c>
      <c r="K55" s="14">
        <f t="shared" si="28"/>
        <v>0</v>
      </c>
      <c r="L55" s="14">
        <f t="shared" si="28"/>
        <v>0</v>
      </c>
      <c r="M55" s="14">
        <f t="shared" si="28"/>
        <v>0</v>
      </c>
      <c r="N55" s="14">
        <f t="shared" si="28"/>
        <v>0</v>
      </c>
    </row>
    <row r="56" spans="1:14" x14ac:dyDescent="0.25">
      <c r="A56" s="4" t="str">
        <f>'Factors and Tables'!A65</f>
        <v>Metal Halide 250 watts</v>
      </c>
      <c r="B56" s="13">
        <f>'Factors and Tables'!B65</f>
        <v>286</v>
      </c>
      <c r="C56" s="14">
        <f>'Data Input'!B39</f>
        <v>0</v>
      </c>
      <c r="D56" s="14">
        <f t="shared" ref="D56:N56" si="29">C56</f>
        <v>0</v>
      </c>
      <c r="E56" s="14">
        <f t="shared" si="29"/>
        <v>0</v>
      </c>
      <c r="F56" s="14">
        <f t="shared" si="29"/>
        <v>0</v>
      </c>
      <c r="G56" s="14">
        <f t="shared" si="29"/>
        <v>0</v>
      </c>
      <c r="H56" s="14">
        <f t="shared" si="29"/>
        <v>0</v>
      </c>
      <c r="I56" s="14">
        <f t="shared" si="29"/>
        <v>0</v>
      </c>
      <c r="J56" s="14">
        <f t="shared" si="29"/>
        <v>0</v>
      </c>
      <c r="K56" s="14">
        <f t="shared" si="29"/>
        <v>0</v>
      </c>
      <c r="L56" s="14">
        <f t="shared" si="29"/>
        <v>0</v>
      </c>
      <c r="M56" s="14">
        <f t="shared" si="29"/>
        <v>0</v>
      </c>
      <c r="N56" s="14">
        <f t="shared" si="29"/>
        <v>0</v>
      </c>
    </row>
    <row r="57" spans="1:14" x14ac:dyDescent="0.25">
      <c r="A57" s="4" t="str">
        <f>'Factors and Tables'!A66</f>
        <v>Metal Halide 400 watts</v>
      </c>
      <c r="B57" s="13">
        <f>'Factors and Tables'!B66</f>
        <v>449</v>
      </c>
      <c r="C57" s="14">
        <f>'Data Input'!B40</f>
        <v>0</v>
      </c>
      <c r="D57" s="14">
        <f t="shared" ref="D57:N57" si="30">C57</f>
        <v>0</v>
      </c>
      <c r="E57" s="14">
        <f t="shared" si="30"/>
        <v>0</v>
      </c>
      <c r="F57" s="14">
        <f t="shared" si="30"/>
        <v>0</v>
      </c>
      <c r="G57" s="14">
        <f t="shared" si="30"/>
        <v>0</v>
      </c>
      <c r="H57" s="14">
        <f t="shared" si="30"/>
        <v>0</v>
      </c>
      <c r="I57" s="14">
        <f t="shared" si="30"/>
        <v>0</v>
      </c>
      <c r="J57" s="14">
        <f t="shared" si="30"/>
        <v>0</v>
      </c>
      <c r="K57" s="14">
        <f t="shared" si="30"/>
        <v>0</v>
      </c>
      <c r="L57" s="14">
        <f t="shared" si="30"/>
        <v>0</v>
      </c>
      <c r="M57" s="14">
        <f t="shared" si="30"/>
        <v>0</v>
      </c>
      <c r="N57" s="14">
        <f t="shared" si="30"/>
        <v>0</v>
      </c>
    </row>
    <row r="58" spans="1:14" x14ac:dyDescent="0.25">
      <c r="A58" s="4" t="str">
        <f>'Factors and Tables'!A67</f>
        <v>LED 14 watts</v>
      </c>
      <c r="B58" s="13">
        <f>'Factors and Tables'!B67</f>
        <v>17</v>
      </c>
      <c r="C58" s="14">
        <f>'Data Input'!B41</f>
        <v>0</v>
      </c>
      <c r="D58" s="14">
        <f t="shared" ref="D58:N58" si="31">C58</f>
        <v>0</v>
      </c>
      <c r="E58" s="14">
        <f t="shared" si="31"/>
        <v>0</v>
      </c>
      <c r="F58" s="14">
        <f t="shared" si="31"/>
        <v>0</v>
      </c>
      <c r="G58" s="14">
        <f t="shared" si="31"/>
        <v>0</v>
      </c>
      <c r="H58" s="14">
        <f t="shared" si="31"/>
        <v>0</v>
      </c>
      <c r="I58" s="14">
        <f t="shared" si="31"/>
        <v>0</v>
      </c>
      <c r="J58" s="14">
        <f t="shared" si="31"/>
        <v>0</v>
      </c>
      <c r="K58" s="14">
        <f t="shared" si="31"/>
        <v>0</v>
      </c>
      <c r="L58" s="14">
        <f t="shared" si="31"/>
        <v>0</v>
      </c>
      <c r="M58" s="14">
        <f t="shared" si="31"/>
        <v>0</v>
      </c>
      <c r="N58" s="14">
        <f t="shared" si="31"/>
        <v>0</v>
      </c>
    </row>
    <row r="59" spans="1:14" x14ac:dyDescent="0.25">
      <c r="A59" s="4" t="str">
        <f>'Factors and Tables'!A68</f>
        <v>LED 14 watts (Aldridge)</v>
      </c>
      <c r="B59" s="13">
        <f>'Factors and Tables'!B68</f>
        <v>17.7</v>
      </c>
      <c r="C59" s="14">
        <f>'Data Input'!B42</f>
        <v>0</v>
      </c>
      <c r="D59" s="14">
        <f t="shared" ref="D59:N59" si="32">C59</f>
        <v>0</v>
      </c>
      <c r="E59" s="14">
        <f t="shared" si="32"/>
        <v>0</v>
      </c>
      <c r="F59" s="14">
        <f t="shared" si="32"/>
        <v>0</v>
      </c>
      <c r="G59" s="14">
        <f t="shared" si="32"/>
        <v>0</v>
      </c>
      <c r="H59" s="14">
        <f t="shared" si="32"/>
        <v>0</v>
      </c>
      <c r="I59" s="14">
        <f t="shared" si="32"/>
        <v>0</v>
      </c>
      <c r="J59" s="14">
        <f t="shared" si="32"/>
        <v>0</v>
      </c>
      <c r="K59" s="14">
        <f t="shared" si="32"/>
        <v>0</v>
      </c>
      <c r="L59" s="14">
        <f t="shared" si="32"/>
        <v>0</v>
      </c>
      <c r="M59" s="14">
        <f t="shared" si="32"/>
        <v>0</v>
      </c>
      <c r="N59" s="14">
        <f t="shared" si="32"/>
        <v>0</v>
      </c>
    </row>
    <row r="60" spans="1:14" x14ac:dyDescent="0.25">
      <c r="A60" s="4" t="str">
        <f>'Factors and Tables'!A69</f>
        <v>LED 17 watts</v>
      </c>
      <c r="B60" s="13">
        <f>'Factors and Tables'!B69</f>
        <v>17.600000000000001</v>
      </c>
      <c r="C60" s="14">
        <f>'Data Input'!B43</f>
        <v>0</v>
      </c>
      <c r="D60" s="14">
        <f t="shared" ref="D60:N60" si="33">C60</f>
        <v>0</v>
      </c>
      <c r="E60" s="14">
        <f t="shared" si="33"/>
        <v>0</v>
      </c>
      <c r="F60" s="14">
        <f t="shared" si="33"/>
        <v>0</v>
      </c>
      <c r="G60" s="14">
        <f t="shared" si="33"/>
        <v>0</v>
      </c>
      <c r="H60" s="14">
        <f t="shared" si="33"/>
        <v>0</v>
      </c>
      <c r="I60" s="14">
        <f t="shared" si="33"/>
        <v>0</v>
      </c>
      <c r="J60" s="14">
        <f t="shared" si="33"/>
        <v>0</v>
      </c>
      <c r="K60" s="14">
        <f t="shared" si="33"/>
        <v>0</v>
      </c>
      <c r="L60" s="14">
        <f t="shared" si="33"/>
        <v>0</v>
      </c>
      <c r="M60" s="14">
        <f t="shared" si="33"/>
        <v>0</v>
      </c>
      <c r="N60" s="14">
        <f t="shared" si="33"/>
        <v>0</v>
      </c>
    </row>
    <row r="61" spans="1:14" x14ac:dyDescent="0.25">
      <c r="A61" s="4" t="str">
        <f>'Factors and Tables'!A70</f>
        <v>LED 18 watts</v>
      </c>
      <c r="B61" s="13">
        <f>'Factors and Tables'!B70</f>
        <v>21.9</v>
      </c>
      <c r="C61" s="14">
        <f>'Data Input'!B44</f>
        <v>0</v>
      </c>
      <c r="D61" s="14">
        <f t="shared" ref="D61:N61" si="34">C61</f>
        <v>0</v>
      </c>
      <c r="E61" s="14">
        <f t="shared" si="34"/>
        <v>0</v>
      </c>
      <c r="F61" s="14">
        <f t="shared" si="34"/>
        <v>0</v>
      </c>
      <c r="G61" s="14">
        <f t="shared" si="34"/>
        <v>0</v>
      </c>
      <c r="H61" s="14">
        <f t="shared" si="34"/>
        <v>0</v>
      </c>
      <c r="I61" s="14">
        <f t="shared" si="34"/>
        <v>0</v>
      </c>
      <c r="J61" s="14">
        <f t="shared" si="34"/>
        <v>0</v>
      </c>
      <c r="K61" s="14">
        <f t="shared" si="34"/>
        <v>0</v>
      </c>
      <c r="L61" s="14">
        <f t="shared" si="34"/>
        <v>0</v>
      </c>
      <c r="M61" s="14">
        <f t="shared" si="34"/>
        <v>0</v>
      </c>
      <c r="N61" s="14">
        <f t="shared" si="34"/>
        <v>0</v>
      </c>
    </row>
    <row r="62" spans="1:14" x14ac:dyDescent="0.25">
      <c r="A62" s="4" t="str">
        <f>'Factors and Tables'!A71</f>
        <v>LED 20 watts</v>
      </c>
      <c r="B62" s="13">
        <f>'Factors and Tables'!B71</f>
        <v>18.3</v>
      </c>
      <c r="C62" s="14">
        <f>'Data Input'!B45</f>
        <v>0</v>
      </c>
      <c r="D62" s="14">
        <f t="shared" ref="D62:N62" si="35">C62</f>
        <v>0</v>
      </c>
      <c r="E62" s="14">
        <f t="shared" si="35"/>
        <v>0</v>
      </c>
      <c r="F62" s="14">
        <f t="shared" si="35"/>
        <v>0</v>
      </c>
      <c r="G62" s="14">
        <f t="shared" si="35"/>
        <v>0</v>
      </c>
      <c r="H62" s="14">
        <f t="shared" si="35"/>
        <v>0</v>
      </c>
      <c r="I62" s="14">
        <f t="shared" si="35"/>
        <v>0</v>
      </c>
      <c r="J62" s="14">
        <f t="shared" si="35"/>
        <v>0</v>
      </c>
      <c r="K62" s="14">
        <f t="shared" si="35"/>
        <v>0</v>
      </c>
      <c r="L62" s="14">
        <f t="shared" si="35"/>
        <v>0</v>
      </c>
      <c r="M62" s="14">
        <f t="shared" si="35"/>
        <v>0</v>
      </c>
      <c r="N62" s="14">
        <f t="shared" si="35"/>
        <v>0</v>
      </c>
    </row>
    <row r="63" spans="1:14" x14ac:dyDescent="0.25">
      <c r="A63" s="4" t="str">
        <f>'Factors and Tables'!A72</f>
        <v>LED 25 watts</v>
      </c>
      <c r="B63" s="13">
        <f>'Factors and Tables'!B72</f>
        <v>29</v>
      </c>
      <c r="C63" s="14">
        <f>'Data Input'!B46</f>
        <v>0</v>
      </c>
      <c r="D63" s="14">
        <f t="shared" ref="D63:N63" si="36">C63</f>
        <v>0</v>
      </c>
      <c r="E63" s="14">
        <f t="shared" si="36"/>
        <v>0</v>
      </c>
      <c r="F63" s="14">
        <f t="shared" si="36"/>
        <v>0</v>
      </c>
      <c r="G63" s="14">
        <f t="shared" si="36"/>
        <v>0</v>
      </c>
      <c r="H63" s="14">
        <f t="shared" si="36"/>
        <v>0</v>
      </c>
      <c r="I63" s="14">
        <f t="shared" si="36"/>
        <v>0</v>
      </c>
      <c r="J63" s="14">
        <f t="shared" si="36"/>
        <v>0</v>
      </c>
      <c r="K63" s="14">
        <f t="shared" si="36"/>
        <v>0</v>
      </c>
      <c r="L63" s="14">
        <f t="shared" si="36"/>
        <v>0</v>
      </c>
      <c r="M63" s="14">
        <f t="shared" si="36"/>
        <v>0</v>
      </c>
      <c r="N63" s="14">
        <f t="shared" si="36"/>
        <v>0</v>
      </c>
    </row>
    <row r="64" spans="1:14" x14ac:dyDescent="0.25">
      <c r="A64" s="4" t="str">
        <f>'Factors and Tables'!A73</f>
        <v>GE 250 LED 30 watts (GE 250)</v>
      </c>
      <c r="B64" s="13">
        <f>'Factors and Tables'!B73</f>
        <v>30</v>
      </c>
      <c r="C64" s="14">
        <f>'Data Input'!B47</f>
        <v>0</v>
      </c>
      <c r="D64" s="14">
        <f t="shared" ref="D64:N64" si="37">C64</f>
        <v>0</v>
      </c>
      <c r="E64" s="14">
        <f t="shared" si="37"/>
        <v>0</v>
      </c>
      <c r="F64" s="14">
        <f t="shared" si="37"/>
        <v>0</v>
      </c>
      <c r="G64" s="14">
        <f t="shared" si="37"/>
        <v>0</v>
      </c>
      <c r="H64" s="14">
        <f t="shared" si="37"/>
        <v>0</v>
      </c>
      <c r="I64" s="14">
        <f t="shared" si="37"/>
        <v>0</v>
      </c>
      <c r="J64" s="14">
        <f t="shared" si="37"/>
        <v>0</v>
      </c>
      <c r="K64" s="14">
        <f t="shared" si="37"/>
        <v>0</v>
      </c>
      <c r="L64" s="14">
        <f t="shared" si="37"/>
        <v>0</v>
      </c>
      <c r="M64" s="14">
        <f t="shared" si="37"/>
        <v>0</v>
      </c>
      <c r="N64" s="14">
        <f t="shared" si="37"/>
        <v>0</v>
      </c>
    </row>
    <row r="65" spans="1:14" x14ac:dyDescent="0.25">
      <c r="A65" s="4" t="str">
        <f>'Factors and Tables'!A74</f>
        <v>LED 30 watts (Aldridge)</v>
      </c>
      <c r="B65" s="13">
        <f>'Factors and Tables'!B74</f>
        <v>30.6</v>
      </c>
      <c r="C65" s="14">
        <f>'Data Input'!B48</f>
        <v>0</v>
      </c>
      <c r="D65" s="14">
        <f t="shared" ref="D65:N65" si="38">C65</f>
        <v>0</v>
      </c>
      <c r="E65" s="14">
        <f t="shared" si="38"/>
        <v>0</v>
      </c>
      <c r="F65" s="14">
        <f t="shared" si="38"/>
        <v>0</v>
      </c>
      <c r="G65" s="14">
        <f t="shared" si="38"/>
        <v>0</v>
      </c>
      <c r="H65" s="14">
        <f t="shared" si="38"/>
        <v>0</v>
      </c>
      <c r="I65" s="14">
        <f t="shared" si="38"/>
        <v>0</v>
      </c>
      <c r="J65" s="14">
        <f t="shared" si="38"/>
        <v>0</v>
      </c>
      <c r="K65" s="14">
        <f t="shared" si="38"/>
        <v>0</v>
      </c>
      <c r="L65" s="14">
        <f t="shared" si="38"/>
        <v>0</v>
      </c>
      <c r="M65" s="14">
        <f t="shared" si="38"/>
        <v>0</v>
      </c>
      <c r="N65" s="14">
        <f t="shared" si="38"/>
        <v>0</v>
      </c>
    </row>
    <row r="66" spans="1:14" x14ac:dyDescent="0.25">
      <c r="A66" s="4" t="str">
        <f>'Factors and Tables'!A75</f>
        <v>LED 75 watts</v>
      </c>
      <c r="B66" s="13">
        <f>'Factors and Tables'!B75</f>
        <v>74</v>
      </c>
      <c r="C66" s="14">
        <f>'Data Input'!B49</f>
        <v>0</v>
      </c>
      <c r="D66" s="14">
        <f t="shared" ref="D66:N66" si="39">C66</f>
        <v>0</v>
      </c>
      <c r="E66" s="14">
        <f t="shared" si="39"/>
        <v>0</v>
      </c>
      <c r="F66" s="14">
        <f t="shared" si="39"/>
        <v>0</v>
      </c>
      <c r="G66" s="14">
        <f t="shared" si="39"/>
        <v>0</v>
      </c>
      <c r="H66" s="14">
        <f t="shared" si="39"/>
        <v>0</v>
      </c>
      <c r="I66" s="14">
        <f t="shared" si="39"/>
        <v>0</v>
      </c>
      <c r="J66" s="14">
        <f t="shared" si="39"/>
        <v>0</v>
      </c>
      <c r="K66" s="14">
        <f t="shared" si="39"/>
        <v>0</v>
      </c>
      <c r="L66" s="14">
        <f t="shared" si="39"/>
        <v>0</v>
      </c>
      <c r="M66" s="14">
        <f t="shared" si="39"/>
        <v>0</v>
      </c>
      <c r="N66" s="14">
        <f t="shared" si="39"/>
        <v>0</v>
      </c>
    </row>
    <row r="67" spans="1:14" x14ac:dyDescent="0.25">
      <c r="A67" s="4" t="str">
        <f>'Factors and Tables'!A76</f>
        <v>LED Floodlight 155 watts</v>
      </c>
      <c r="B67" s="13">
        <f>'Factors and Tables'!B76</f>
        <v>156.6</v>
      </c>
      <c r="C67" s="14">
        <f>'Data Input'!B50</f>
        <v>0</v>
      </c>
      <c r="D67" s="14">
        <f t="shared" ref="D67:N67" si="40">C67</f>
        <v>0</v>
      </c>
      <c r="E67" s="14">
        <f t="shared" si="40"/>
        <v>0</v>
      </c>
      <c r="F67" s="14">
        <f t="shared" si="40"/>
        <v>0</v>
      </c>
      <c r="G67" s="14">
        <f t="shared" si="40"/>
        <v>0</v>
      </c>
      <c r="H67" s="14">
        <f t="shared" si="40"/>
        <v>0</v>
      </c>
      <c r="I67" s="14">
        <f t="shared" si="40"/>
        <v>0</v>
      </c>
      <c r="J67" s="14">
        <f t="shared" si="40"/>
        <v>0</v>
      </c>
      <c r="K67" s="14">
        <f t="shared" si="40"/>
        <v>0</v>
      </c>
      <c r="L67" s="14">
        <f t="shared" si="40"/>
        <v>0</v>
      </c>
      <c r="M67" s="14">
        <f t="shared" si="40"/>
        <v>0</v>
      </c>
      <c r="N67" s="14">
        <f t="shared" si="40"/>
        <v>0</v>
      </c>
    </row>
    <row r="68" spans="1:14" x14ac:dyDescent="0.25">
      <c r="A68" s="4" t="str">
        <f>'Factors and Tables'!A77</f>
        <v>LED 175 watts</v>
      </c>
      <c r="B68" s="13">
        <f>'Factors and Tables'!B77</f>
        <v>170</v>
      </c>
      <c r="C68" s="14">
        <f>'Data Input'!B51</f>
        <v>0</v>
      </c>
      <c r="D68" s="14">
        <f t="shared" ref="D68:N68" si="41">C68</f>
        <v>0</v>
      </c>
      <c r="E68" s="14">
        <f t="shared" si="41"/>
        <v>0</v>
      </c>
      <c r="F68" s="14">
        <f t="shared" si="41"/>
        <v>0</v>
      </c>
      <c r="G68" s="14">
        <f t="shared" si="41"/>
        <v>0</v>
      </c>
      <c r="H68" s="14">
        <f t="shared" si="41"/>
        <v>0</v>
      </c>
      <c r="I68" s="14">
        <f t="shared" si="41"/>
        <v>0</v>
      </c>
      <c r="J68" s="14">
        <f t="shared" si="41"/>
        <v>0</v>
      </c>
      <c r="K68" s="14">
        <f t="shared" si="41"/>
        <v>0</v>
      </c>
      <c r="L68" s="14">
        <f t="shared" si="41"/>
        <v>0</v>
      </c>
      <c r="M68" s="14">
        <f t="shared" si="41"/>
        <v>0</v>
      </c>
      <c r="N68" s="14">
        <f t="shared" si="41"/>
        <v>0</v>
      </c>
    </row>
    <row r="69" spans="1:14" x14ac:dyDescent="0.25">
      <c r="A69" s="4" t="str">
        <f>'Factors and Tables'!A78</f>
        <v>LED Floodlight 200 watts</v>
      </c>
      <c r="B69" s="13">
        <f>'Factors and Tables'!B78</f>
        <v>196.2</v>
      </c>
      <c r="C69" s="14">
        <f>'Data Input'!B52</f>
        <v>0</v>
      </c>
      <c r="D69" s="14">
        <f t="shared" ref="D69:N69" si="42">C69</f>
        <v>0</v>
      </c>
      <c r="E69" s="14">
        <f t="shared" si="42"/>
        <v>0</v>
      </c>
      <c r="F69" s="14">
        <f t="shared" si="42"/>
        <v>0</v>
      </c>
      <c r="G69" s="14">
        <f t="shared" si="42"/>
        <v>0</v>
      </c>
      <c r="H69" s="14">
        <f t="shared" si="42"/>
        <v>0</v>
      </c>
      <c r="I69" s="14">
        <f t="shared" si="42"/>
        <v>0</v>
      </c>
      <c r="J69" s="14">
        <f t="shared" si="42"/>
        <v>0</v>
      </c>
      <c r="K69" s="14">
        <f t="shared" si="42"/>
        <v>0</v>
      </c>
      <c r="L69" s="14">
        <f t="shared" si="42"/>
        <v>0</v>
      </c>
      <c r="M69" s="14">
        <f t="shared" si="42"/>
        <v>0</v>
      </c>
      <c r="N69" s="14">
        <f t="shared" si="42"/>
        <v>0</v>
      </c>
    </row>
    <row r="70" spans="1:14" x14ac:dyDescent="0.25">
      <c r="A70" s="4" t="str">
        <f>'Factors and Tables'!A79</f>
        <v>LED 240 watts</v>
      </c>
      <c r="B70" s="13">
        <f>'Factors and Tables'!B79</f>
        <v>245</v>
      </c>
      <c r="C70" s="14">
        <f>'Data Input'!B53</f>
        <v>0</v>
      </c>
      <c r="D70" s="14">
        <f t="shared" ref="D70:N70" si="43">C70</f>
        <v>0</v>
      </c>
      <c r="E70" s="14">
        <f t="shared" si="43"/>
        <v>0</v>
      </c>
      <c r="F70" s="14">
        <f t="shared" si="43"/>
        <v>0</v>
      </c>
      <c r="G70" s="14">
        <f t="shared" si="43"/>
        <v>0</v>
      </c>
      <c r="H70" s="14">
        <f t="shared" si="43"/>
        <v>0</v>
      </c>
      <c r="I70" s="14">
        <f t="shared" si="43"/>
        <v>0</v>
      </c>
      <c r="J70" s="14">
        <f t="shared" si="43"/>
        <v>0</v>
      </c>
      <c r="K70" s="14">
        <f t="shared" si="43"/>
        <v>0</v>
      </c>
      <c r="L70" s="14">
        <f t="shared" si="43"/>
        <v>0</v>
      </c>
      <c r="M70" s="14">
        <f t="shared" si="43"/>
        <v>0</v>
      </c>
      <c r="N70" s="14">
        <f t="shared" si="43"/>
        <v>0</v>
      </c>
    </row>
    <row r="71" spans="1:14" x14ac:dyDescent="0.25">
      <c r="A71" s="4" t="str">
        <f>'Factors and Tables'!A80</f>
        <v>LED 265 watts</v>
      </c>
      <c r="B71" s="13">
        <f>'Factors and Tables'!B80</f>
        <v>258</v>
      </c>
      <c r="C71" s="14">
        <f>'Data Input'!B54</f>
        <v>0</v>
      </c>
      <c r="D71" s="14">
        <f t="shared" ref="D71:N71" si="44">C71</f>
        <v>0</v>
      </c>
      <c r="E71" s="14">
        <f t="shared" si="44"/>
        <v>0</v>
      </c>
      <c r="F71" s="14">
        <f t="shared" si="44"/>
        <v>0</v>
      </c>
      <c r="G71" s="14">
        <f t="shared" si="44"/>
        <v>0</v>
      </c>
      <c r="H71" s="14">
        <f t="shared" si="44"/>
        <v>0</v>
      </c>
      <c r="I71" s="14">
        <f t="shared" si="44"/>
        <v>0</v>
      </c>
      <c r="J71" s="14">
        <f t="shared" si="44"/>
        <v>0</v>
      </c>
      <c r="K71" s="14">
        <f t="shared" si="44"/>
        <v>0</v>
      </c>
      <c r="L71" s="14">
        <f t="shared" si="44"/>
        <v>0</v>
      </c>
      <c r="M71" s="14">
        <f t="shared" si="44"/>
        <v>0</v>
      </c>
      <c r="N71" s="14">
        <f t="shared" si="44"/>
        <v>0</v>
      </c>
    </row>
    <row r="72" spans="1:14" x14ac:dyDescent="0.25">
      <c r="A72" s="4"/>
      <c r="B72" s="13"/>
      <c r="C72" s="14">
        <v>0</v>
      </c>
      <c r="D72" s="14">
        <v>0</v>
      </c>
      <c r="E72" s="14">
        <v>0</v>
      </c>
      <c r="F72" s="14">
        <v>0</v>
      </c>
      <c r="G72" s="14">
        <v>0</v>
      </c>
      <c r="H72" s="14">
        <v>0</v>
      </c>
      <c r="I72" s="14">
        <v>0</v>
      </c>
      <c r="J72" s="14">
        <v>0</v>
      </c>
      <c r="K72" s="14">
        <v>0</v>
      </c>
      <c r="L72" s="14">
        <v>0</v>
      </c>
      <c r="M72" s="14">
        <v>0</v>
      </c>
      <c r="N72" s="14">
        <v>0</v>
      </c>
    </row>
    <row r="73" spans="1:14" x14ac:dyDescent="0.25">
      <c r="A73" s="4"/>
      <c r="B73" s="13"/>
      <c r="C73" s="14">
        <v>0</v>
      </c>
      <c r="D73" s="14">
        <v>0</v>
      </c>
      <c r="E73" s="14">
        <v>0</v>
      </c>
      <c r="F73" s="14">
        <v>0</v>
      </c>
      <c r="G73" s="14">
        <v>0</v>
      </c>
      <c r="H73" s="14">
        <v>0</v>
      </c>
      <c r="I73" s="14">
        <v>0</v>
      </c>
      <c r="J73" s="14">
        <v>0</v>
      </c>
      <c r="K73" s="14">
        <v>0</v>
      </c>
      <c r="L73" s="14">
        <v>0</v>
      </c>
      <c r="M73" s="14">
        <v>0</v>
      </c>
      <c r="N73" s="14">
        <v>0</v>
      </c>
    </row>
    <row r="74" spans="1:14" x14ac:dyDescent="0.25">
      <c r="A74" s="4"/>
      <c r="B74" s="13"/>
      <c r="C74" s="14">
        <v>0</v>
      </c>
      <c r="D74" s="14">
        <v>0</v>
      </c>
      <c r="E74" s="14">
        <v>0</v>
      </c>
      <c r="F74" s="14">
        <v>0</v>
      </c>
      <c r="G74" s="14">
        <v>0</v>
      </c>
      <c r="H74" s="14">
        <v>0</v>
      </c>
      <c r="I74" s="14">
        <v>0</v>
      </c>
      <c r="J74" s="14">
        <v>0</v>
      </c>
      <c r="K74" s="14">
        <v>0</v>
      </c>
      <c r="L74" s="14">
        <v>0</v>
      </c>
      <c r="M74" s="14">
        <v>0</v>
      </c>
      <c r="N74" s="14">
        <v>0</v>
      </c>
    </row>
    <row r="75" spans="1:14" x14ac:dyDescent="0.25">
      <c r="A75" s="4"/>
      <c r="B75" s="13"/>
      <c r="C75" s="14">
        <v>0</v>
      </c>
      <c r="D75" s="14">
        <v>0</v>
      </c>
      <c r="E75" s="14">
        <v>0</v>
      </c>
      <c r="F75" s="14">
        <v>0</v>
      </c>
      <c r="G75" s="14">
        <v>0</v>
      </c>
      <c r="H75" s="14">
        <v>0</v>
      </c>
      <c r="I75" s="14">
        <v>0</v>
      </c>
      <c r="J75" s="14">
        <v>0</v>
      </c>
      <c r="K75" s="14">
        <v>0</v>
      </c>
      <c r="L75" s="14">
        <v>0</v>
      </c>
      <c r="M75" s="14">
        <v>0</v>
      </c>
      <c r="N75" s="14">
        <v>0</v>
      </c>
    </row>
    <row r="76" spans="1:14" x14ac:dyDescent="0.25">
      <c r="A76" s="4"/>
      <c r="B76" s="13"/>
      <c r="C76" s="14">
        <v>0</v>
      </c>
      <c r="D76" s="14">
        <v>0</v>
      </c>
      <c r="E76" s="14">
        <v>0</v>
      </c>
      <c r="F76" s="14">
        <v>0</v>
      </c>
      <c r="G76" s="14">
        <v>0</v>
      </c>
      <c r="H76" s="14">
        <v>0</v>
      </c>
      <c r="I76" s="14">
        <v>0</v>
      </c>
      <c r="J76" s="14">
        <v>0</v>
      </c>
      <c r="K76" s="14">
        <v>0</v>
      </c>
      <c r="L76" s="14">
        <v>0</v>
      </c>
      <c r="M76" s="14">
        <v>0</v>
      </c>
      <c r="N76" s="14">
        <v>0</v>
      </c>
    </row>
    <row r="77" spans="1:14" x14ac:dyDescent="0.25">
      <c r="A77" s="4"/>
      <c r="B77" s="13"/>
      <c r="C77" s="14">
        <v>0</v>
      </c>
      <c r="D77" s="14">
        <v>0</v>
      </c>
      <c r="E77" s="14">
        <v>0</v>
      </c>
      <c r="F77" s="14">
        <v>0</v>
      </c>
      <c r="G77" s="14">
        <v>0</v>
      </c>
      <c r="H77" s="14">
        <v>0</v>
      </c>
      <c r="I77" s="14">
        <v>0</v>
      </c>
      <c r="J77" s="14">
        <v>0</v>
      </c>
      <c r="K77" s="14">
        <v>0</v>
      </c>
      <c r="L77" s="14">
        <v>0</v>
      </c>
      <c r="M77" s="14">
        <v>0</v>
      </c>
      <c r="N77" s="14">
        <v>0</v>
      </c>
    </row>
    <row r="78" spans="1:14" x14ac:dyDescent="0.25">
      <c r="A78" s="4"/>
      <c r="B78" s="13"/>
      <c r="C78" s="14">
        <v>0</v>
      </c>
      <c r="D78" s="14">
        <v>0</v>
      </c>
      <c r="E78" s="14">
        <v>0</v>
      </c>
      <c r="F78" s="14">
        <v>0</v>
      </c>
      <c r="G78" s="14">
        <v>0</v>
      </c>
      <c r="H78" s="14">
        <v>0</v>
      </c>
      <c r="I78" s="14">
        <v>0</v>
      </c>
      <c r="J78" s="14">
        <v>0</v>
      </c>
      <c r="K78" s="14">
        <v>0</v>
      </c>
      <c r="L78" s="14">
        <v>0</v>
      </c>
      <c r="M78" s="14">
        <v>0</v>
      </c>
      <c r="N78" s="14">
        <v>0</v>
      </c>
    </row>
    <row r="79" spans="1:14" x14ac:dyDescent="0.25">
      <c r="A79" s="4"/>
      <c r="B79" s="13"/>
      <c r="C79" s="14">
        <v>0</v>
      </c>
      <c r="D79" s="14">
        <v>0</v>
      </c>
      <c r="E79" s="14">
        <v>0</v>
      </c>
      <c r="F79" s="14">
        <v>0</v>
      </c>
      <c r="G79" s="14">
        <v>0</v>
      </c>
      <c r="H79" s="14">
        <v>0</v>
      </c>
      <c r="I79" s="14">
        <v>0</v>
      </c>
      <c r="J79" s="14">
        <v>0</v>
      </c>
      <c r="K79" s="14">
        <v>0</v>
      </c>
      <c r="L79" s="14">
        <v>0</v>
      </c>
      <c r="M79" s="14">
        <v>0</v>
      </c>
      <c r="N79" s="14">
        <v>0</v>
      </c>
    </row>
    <row r="80" spans="1:14" x14ac:dyDescent="0.25">
      <c r="A80" s="4"/>
      <c r="B80" s="13"/>
      <c r="C80" s="14">
        <v>0</v>
      </c>
      <c r="D80" s="14">
        <v>0</v>
      </c>
      <c r="E80" s="14">
        <v>0</v>
      </c>
      <c r="F80" s="14">
        <v>0</v>
      </c>
      <c r="G80" s="14">
        <v>0</v>
      </c>
      <c r="H80" s="14">
        <v>0</v>
      </c>
      <c r="I80" s="14">
        <v>0</v>
      </c>
      <c r="J80" s="14">
        <v>0</v>
      </c>
      <c r="K80" s="14">
        <v>0</v>
      </c>
      <c r="L80" s="14">
        <v>0</v>
      </c>
      <c r="M80" s="14">
        <v>0</v>
      </c>
      <c r="N80" s="14">
        <v>0</v>
      </c>
    </row>
    <row r="81" spans="1:14" x14ac:dyDescent="0.25">
      <c r="A81" s="4"/>
      <c r="B81" s="13"/>
      <c r="C81" s="14">
        <v>0</v>
      </c>
      <c r="D81" s="14">
        <v>0</v>
      </c>
      <c r="E81" s="14">
        <v>0</v>
      </c>
      <c r="F81" s="14">
        <v>0</v>
      </c>
      <c r="G81" s="14">
        <v>0</v>
      </c>
      <c r="H81" s="14">
        <v>0</v>
      </c>
      <c r="I81" s="14">
        <v>0</v>
      </c>
      <c r="J81" s="14">
        <v>0</v>
      </c>
      <c r="K81" s="14">
        <v>0</v>
      </c>
      <c r="L81" s="14">
        <v>0</v>
      </c>
      <c r="M81" s="14">
        <v>0</v>
      </c>
      <c r="N81" s="14">
        <v>0</v>
      </c>
    </row>
  </sheetData>
  <sheetProtection algorithmName="SHA-512" hashValue="U/1NmKB9/QxF99wyZ1UlzLpLceTiQWoBwo1accMukD7PhaipXBVRTbrvrshodiMWf0ulEHGQUsgFhjzu7GUt7g==" saltValue="sxGPw8fRL+fa0B+fwlmmAQ==" spinCount="100000" sheet="1" objects="1" scenarios="1" selectLockedCells="1" selectUnlockedCells="1"/>
  <mergeCells count="3">
    <mergeCell ref="C13:N13"/>
    <mergeCell ref="C16:N16"/>
    <mergeCell ref="A26:L26"/>
  </mergeCells>
  <phoneticPr fontId="9"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6E1A01C-4597-45CB-9902-CEAA5133CF80}">
          <x14:formula1>
            <xm:f>'Factors and Tables'!$D$17:$D$20</xm:f>
          </x14:formula1>
          <xm:sqref>B13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F36B4-7928-4D1E-913D-59E26E25F3CC}">
  <dimension ref="A1:O31"/>
  <sheetViews>
    <sheetView workbookViewId="0"/>
  </sheetViews>
  <sheetFormatPr defaultRowHeight="15" x14ac:dyDescent="0.25"/>
  <cols>
    <col min="1" max="1" width="54.5703125" customWidth="1"/>
    <col min="2" max="2" width="19.7109375" customWidth="1"/>
    <col min="3" max="3" width="26.7109375" customWidth="1"/>
    <col min="4" max="4" width="21.85546875" customWidth="1"/>
    <col min="5" max="5" width="20.7109375" customWidth="1"/>
    <col min="6" max="6" width="14.7109375" customWidth="1"/>
    <col min="7" max="7" width="13.42578125" customWidth="1"/>
    <col min="8" max="8" width="17.85546875" customWidth="1"/>
    <col min="9" max="9" width="10.5703125" bestFit="1" customWidth="1"/>
  </cols>
  <sheetData>
    <row r="1" spans="1:15" ht="18.75" x14ac:dyDescent="0.3">
      <c r="A1" s="1" t="str">
        <f>_xlfn.CONCAT(Summary!B7," - Solar Power Generation and Export - ",Summary!B9)</f>
        <v xml:space="preserve"> - Solar Power Generation and Export - </v>
      </c>
    </row>
    <row r="2" spans="1:15" ht="6" customHeight="1" x14ac:dyDescent="0.25">
      <c r="A2" s="7"/>
    </row>
    <row r="3" spans="1:15" ht="15.75" x14ac:dyDescent="0.25">
      <c r="A3" s="7" t="s">
        <v>70</v>
      </c>
    </row>
    <row r="4" spans="1:15" ht="21.75" customHeight="1" x14ac:dyDescent="0.25">
      <c r="A4" s="5" t="s">
        <v>537</v>
      </c>
    </row>
    <row r="5" spans="1:15" ht="40.5" customHeight="1" x14ac:dyDescent="0.25">
      <c r="A5" s="208" t="s">
        <v>574</v>
      </c>
      <c r="B5" s="208"/>
      <c r="C5" s="208"/>
      <c r="D5" s="208"/>
      <c r="E5" s="208"/>
      <c r="F5" s="208"/>
      <c r="G5" s="208"/>
      <c r="H5" s="35"/>
      <c r="I5" s="35"/>
      <c r="J5" s="35"/>
      <c r="K5" s="35"/>
    </row>
    <row r="6" spans="1:15" ht="44.25" customHeight="1" x14ac:dyDescent="0.25">
      <c r="A6" s="208" t="s">
        <v>575</v>
      </c>
      <c r="B6" s="208"/>
      <c r="C6" s="208"/>
      <c r="D6" s="208"/>
      <c r="E6" s="208"/>
      <c r="F6" s="208"/>
      <c r="G6" s="208"/>
      <c r="H6" s="35"/>
      <c r="I6" s="35"/>
      <c r="J6" s="35"/>
      <c r="K6" s="35"/>
    </row>
    <row r="7" spans="1:15" ht="15.75" x14ac:dyDescent="0.25">
      <c r="A7" s="133"/>
      <c r="B7" s="146" t="s">
        <v>536</v>
      </c>
      <c r="C7" s="146" t="s">
        <v>199</v>
      </c>
      <c r="D7" s="146" t="s">
        <v>99</v>
      </c>
    </row>
    <row r="8" spans="1:15" x14ac:dyDescent="0.25">
      <c r="A8" s="147" t="s">
        <v>533</v>
      </c>
      <c r="B8" s="152">
        <f>IF('Data Input'!B60="",'Data Input'!B58*Solar!B12,'Data Input'!B60)</f>
        <v>0</v>
      </c>
      <c r="C8" s="126">
        <f>B8*0.0036</f>
        <v>0</v>
      </c>
      <c r="D8" s="142" t="e">
        <f>SUM(D9:D10)</f>
        <v>#N/A</v>
      </c>
    </row>
    <row r="9" spans="1:15" x14ac:dyDescent="0.25">
      <c r="A9" s="58" t="s">
        <v>284</v>
      </c>
      <c r="B9" s="153">
        <f>B8-B10</f>
        <v>0</v>
      </c>
      <c r="C9" s="126">
        <f t="shared" ref="C9:C10" si="0">B9*0.0036</f>
        <v>0</v>
      </c>
      <c r="D9" s="142">
        <v>0</v>
      </c>
      <c r="E9" t="s">
        <v>539</v>
      </c>
    </row>
    <row r="10" spans="1:15" ht="30" x14ac:dyDescent="0.25">
      <c r="A10" s="58" t="s">
        <v>285</v>
      </c>
      <c r="B10" s="153">
        <f>'Data Input'!B59</f>
        <v>0</v>
      </c>
      <c r="C10" s="126">
        <f t="shared" si="0"/>
        <v>0</v>
      </c>
      <c r="D10" s="150" t="e">
        <f>B10/1000*HLOOKUP(Summary!B9,'Factors and Tables'!B5:R8,2,FALSE)</f>
        <v>#N/A</v>
      </c>
    </row>
    <row r="12" spans="1:15" ht="48.75" customHeight="1" x14ac:dyDescent="0.25">
      <c r="A12" s="8" t="s">
        <v>253</v>
      </c>
      <c r="B12" s="66">
        <f>IF(Summary!B7="",1225,'Factors and Tables'!I13*VLOOKUP(Summary!B7,'Factors and Tables'!H16:I27,2,FALSE)/'Factors and Tables'!I22)</f>
        <v>1225</v>
      </c>
      <c r="C12" s="190" t="s">
        <v>538</v>
      </c>
      <c r="D12" s="190"/>
      <c r="E12" s="190"/>
      <c r="F12" s="190"/>
      <c r="G12" s="190"/>
      <c r="H12" s="190"/>
      <c r="I12" s="190"/>
      <c r="J12" s="190"/>
      <c r="K12" s="190"/>
    </row>
    <row r="14" spans="1:15" ht="63" customHeight="1" x14ac:dyDescent="0.25">
      <c r="A14" s="154" t="s">
        <v>576</v>
      </c>
      <c r="B14" s="8"/>
      <c r="C14" s="155" t="s">
        <v>573</v>
      </c>
      <c r="D14" s="154" t="s">
        <v>577</v>
      </c>
      <c r="E14" s="19" t="s">
        <v>33</v>
      </c>
      <c r="F14" s="19" t="s">
        <v>34</v>
      </c>
      <c r="G14" s="8"/>
      <c r="H14" s="8"/>
      <c r="I14" s="207" t="s">
        <v>282</v>
      </c>
      <c r="J14" s="207"/>
      <c r="K14" s="207"/>
      <c r="L14" s="207"/>
    </row>
    <row r="15" spans="1:15" ht="43.5" customHeight="1" x14ac:dyDescent="0.25">
      <c r="A15" s="8" t="s">
        <v>25</v>
      </c>
      <c r="B15" s="6" t="s">
        <v>22</v>
      </c>
      <c r="C15" s="19" t="s">
        <v>286</v>
      </c>
      <c r="D15" s="19" t="s">
        <v>26</v>
      </c>
      <c r="E15" s="19" t="s">
        <v>31</v>
      </c>
      <c r="F15" s="19" t="s">
        <v>32</v>
      </c>
      <c r="G15" s="19" t="s">
        <v>484</v>
      </c>
      <c r="H15" s="19" t="s">
        <v>283</v>
      </c>
      <c r="I15" s="6" t="s">
        <v>27</v>
      </c>
      <c r="J15" s="6" t="s">
        <v>28</v>
      </c>
      <c r="K15" s="6" t="s">
        <v>29</v>
      </c>
      <c r="L15" s="6" t="s">
        <v>30</v>
      </c>
      <c r="M15" s="19" t="s">
        <v>629</v>
      </c>
      <c r="N15" s="42"/>
      <c r="O15" s="3"/>
    </row>
    <row r="16" spans="1:15" x14ac:dyDescent="0.25">
      <c r="A16" s="15"/>
      <c r="B16" s="94"/>
      <c r="C16" s="25" t="str">
        <f>IFERROR(IF(B16="","",VLOOKUP(B16,'Metered Electricity'!$B$22:$C$251,2,FALSE)),"")</f>
        <v/>
      </c>
      <c r="D16" s="15"/>
      <c r="E16" s="9" t="str">
        <f>IF(D16="","",IF(B16="","",D16*$B$12))</f>
        <v/>
      </c>
      <c r="F16" s="68"/>
      <c r="G16" s="9" t="str">
        <f>IF(H16="",IF(AND(E16="",F16=""),"",(IF(F16="",E16,F16))),IF(AND(E16="",F16=""),"",(IF(F16="",E16,F16)+H16)))</f>
        <v/>
      </c>
      <c r="H16" s="9">
        <f>SUM(I16:L16)</f>
        <v>0</v>
      </c>
      <c r="I16" s="68"/>
      <c r="J16" s="68"/>
      <c r="K16" s="68"/>
      <c r="L16" s="68"/>
      <c r="M16" s="25" t="str">
        <f>IFERROR(VLOOKUP(B16,#REF!,6,FALSE),"")</f>
        <v/>
      </c>
    </row>
    <row r="17" spans="1:13" x14ac:dyDescent="0.25">
      <c r="A17" s="15"/>
      <c r="B17" s="94"/>
      <c r="C17" s="25" t="str">
        <f>IFERROR(IF(B17="","",VLOOKUP(B17,'Metered Electricity'!$B$22:$C$251,2,FALSE)),"")</f>
        <v/>
      </c>
      <c r="D17" s="15"/>
      <c r="E17" s="9" t="str">
        <f t="shared" ref="E17:E31" si="1">IF(D17="","",IF(B17="","",D17*$B$12))</f>
        <v/>
      </c>
      <c r="F17" s="68"/>
      <c r="G17" s="9" t="str">
        <f t="shared" ref="G17:G31" si="2">IF(H17="",IF(AND(E17="",F17=""),"",(IF(F17="",E17,F17))),IF(AND(E17="",F17=""),"",(IF(F17="",E17,F17)+H17)))</f>
        <v/>
      </c>
      <c r="H17" s="9">
        <f t="shared" ref="H17:H31" si="3">SUM(I17:L17)</f>
        <v>0</v>
      </c>
      <c r="I17" s="68"/>
      <c r="J17" s="68"/>
      <c r="K17" s="68"/>
      <c r="L17" s="68"/>
      <c r="M17" s="25" t="str">
        <f>IFERROR(VLOOKUP(B17,#REF!,6,FALSE),"")</f>
        <v/>
      </c>
    </row>
    <row r="18" spans="1:13" x14ac:dyDescent="0.25">
      <c r="A18" s="15"/>
      <c r="B18" s="94"/>
      <c r="C18" s="25" t="str">
        <f>IFERROR(IF(B18="","",VLOOKUP(B18,'Metered Electricity'!$B$22:$C$251,2,FALSE)),"")</f>
        <v/>
      </c>
      <c r="D18" s="15"/>
      <c r="E18" s="9" t="str">
        <f t="shared" si="1"/>
        <v/>
      </c>
      <c r="F18" s="68"/>
      <c r="G18" s="9" t="str">
        <f t="shared" si="2"/>
        <v/>
      </c>
      <c r="H18" s="9">
        <f>SUM(I18:L18)</f>
        <v>0</v>
      </c>
      <c r="I18" s="68"/>
      <c r="J18" s="68"/>
      <c r="K18" s="68"/>
      <c r="L18" s="68"/>
      <c r="M18" s="25" t="str">
        <f>IFERROR(VLOOKUP(B18,#REF!,6,FALSE),"")</f>
        <v/>
      </c>
    </row>
    <row r="19" spans="1:13" x14ac:dyDescent="0.25">
      <c r="A19" s="15"/>
      <c r="B19" s="94"/>
      <c r="C19" s="25" t="str">
        <f>IFERROR(IF(B19="","",VLOOKUP(B19,'Metered Electricity'!$B$22:$C$251,2,FALSE)),"")</f>
        <v/>
      </c>
      <c r="D19" s="15"/>
      <c r="E19" s="9" t="str">
        <f t="shared" si="1"/>
        <v/>
      </c>
      <c r="F19" s="68"/>
      <c r="G19" s="9" t="str">
        <f t="shared" si="2"/>
        <v/>
      </c>
      <c r="H19" s="9">
        <f t="shared" si="3"/>
        <v>0</v>
      </c>
      <c r="I19" s="68"/>
      <c r="J19" s="68"/>
      <c r="K19" s="68"/>
      <c r="L19" s="68"/>
      <c r="M19" s="25" t="str">
        <f>IFERROR(VLOOKUP(B19,#REF!,6,FALSE),"")</f>
        <v/>
      </c>
    </row>
    <row r="20" spans="1:13" x14ac:dyDescent="0.25">
      <c r="A20" s="15"/>
      <c r="B20" s="94"/>
      <c r="C20" s="25" t="str">
        <f>IF(B20="","",VLOOKUP(B20,'Metered Electricity'!$B$22:$C$251,2,FALSE))</f>
        <v/>
      </c>
      <c r="D20" s="15"/>
      <c r="E20" s="9" t="str">
        <f t="shared" si="1"/>
        <v/>
      </c>
      <c r="F20" s="68"/>
      <c r="G20" s="9" t="str">
        <f t="shared" si="2"/>
        <v/>
      </c>
      <c r="H20" s="9">
        <f t="shared" si="3"/>
        <v>0</v>
      </c>
      <c r="I20" s="68"/>
      <c r="J20" s="68"/>
      <c r="K20" s="68"/>
      <c r="L20" s="68"/>
      <c r="M20" s="25" t="str">
        <f>IFERROR(VLOOKUP(B20,#REF!,6,FALSE),"")</f>
        <v/>
      </c>
    </row>
    <row r="21" spans="1:13" x14ac:dyDescent="0.25">
      <c r="A21" s="15"/>
      <c r="B21" s="94"/>
      <c r="C21" s="25" t="str">
        <f>IF(B21="","",VLOOKUP(B21,'Metered Electricity'!$B$22:$C$251,2,FALSE))</f>
        <v/>
      </c>
      <c r="D21" s="15"/>
      <c r="E21" s="9" t="str">
        <f t="shared" si="1"/>
        <v/>
      </c>
      <c r="F21" s="68"/>
      <c r="G21" s="9" t="str">
        <f t="shared" si="2"/>
        <v/>
      </c>
      <c r="H21" s="9">
        <f t="shared" si="3"/>
        <v>0</v>
      </c>
      <c r="I21" s="68"/>
      <c r="J21" s="68"/>
      <c r="K21" s="68"/>
      <c r="L21" s="68"/>
      <c r="M21" s="25" t="str">
        <f>IFERROR(VLOOKUP(B21,#REF!,6,FALSE),"")</f>
        <v/>
      </c>
    </row>
    <row r="22" spans="1:13" x14ac:dyDescent="0.25">
      <c r="A22" s="15"/>
      <c r="B22" s="94"/>
      <c r="C22" s="25" t="str">
        <f>IF(B22="","",VLOOKUP(B22,'Metered Electricity'!$B$22:$C$251,2,FALSE))</f>
        <v/>
      </c>
      <c r="D22" s="15"/>
      <c r="E22" s="9" t="str">
        <f t="shared" si="1"/>
        <v/>
      </c>
      <c r="F22" s="68"/>
      <c r="G22" s="9" t="str">
        <f t="shared" si="2"/>
        <v/>
      </c>
      <c r="H22" s="9">
        <f t="shared" si="3"/>
        <v>0</v>
      </c>
      <c r="I22" s="68"/>
      <c r="J22" s="68"/>
      <c r="K22" s="68"/>
      <c r="L22" s="68"/>
      <c r="M22" s="25" t="str">
        <f>IFERROR(VLOOKUP(B22,#REF!,6,FALSE),"")</f>
        <v/>
      </c>
    </row>
    <row r="23" spans="1:13" x14ac:dyDescent="0.25">
      <c r="A23" s="15"/>
      <c r="B23" s="94"/>
      <c r="C23" s="25" t="str">
        <f>IF(B23="","",VLOOKUP(B23,'Metered Electricity'!$B$22:$C$251,2,FALSE))</f>
        <v/>
      </c>
      <c r="D23" s="15"/>
      <c r="E23" s="9" t="str">
        <f t="shared" si="1"/>
        <v/>
      </c>
      <c r="F23" s="68"/>
      <c r="G23" s="9" t="str">
        <f t="shared" si="2"/>
        <v/>
      </c>
      <c r="H23" s="9">
        <f t="shared" si="3"/>
        <v>0</v>
      </c>
      <c r="I23" s="68"/>
      <c r="J23" s="68"/>
      <c r="K23" s="68"/>
      <c r="L23" s="68"/>
      <c r="M23" s="25" t="str">
        <f>IFERROR(VLOOKUP(B23,#REF!,6,FALSE),"")</f>
        <v/>
      </c>
    </row>
    <row r="24" spans="1:13" x14ac:dyDescent="0.25">
      <c r="A24" s="15"/>
      <c r="B24" s="94"/>
      <c r="C24" s="25" t="str">
        <f>IF(B24="","",VLOOKUP(B24,'Metered Electricity'!$B$22:$C$251,2,FALSE))</f>
        <v/>
      </c>
      <c r="D24" s="15"/>
      <c r="E24" s="9" t="str">
        <f t="shared" si="1"/>
        <v/>
      </c>
      <c r="F24" s="68"/>
      <c r="G24" s="9" t="str">
        <f t="shared" si="2"/>
        <v/>
      </c>
      <c r="H24" s="9">
        <f t="shared" si="3"/>
        <v>0</v>
      </c>
      <c r="I24" s="68"/>
      <c r="J24" s="68"/>
      <c r="K24" s="68"/>
      <c r="L24" s="68"/>
      <c r="M24" s="25" t="str">
        <f>IFERROR(VLOOKUP(B24,#REF!,6,FALSE),"")</f>
        <v/>
      </c>
    </row>
    <row r="25" spans="1:13" x14ac:dyDescent="0.25">
      <c r="A25" s="15"/>
      <c r="B25" s="94"/>
      <c r="C25" s="25" t="str">
        <f>IF(B25="","",VLOOKUP(B25,'Metered Electricity'!$B$22:$C$251,2,FALSE))</f>
        <v/>
      </c>
      <c r="D25" s="15"/>
      <c r="E25" s="9" t="str">
        <f t="shared" si="1"/>
        <v/>
      </c>
      <c r="F25" s="68"/>
      <c r="G25" s="9" t="str">
        <f t="shared" si="2"/>
        <v/>
      </c>
      <c r="H25" s="9">
        <f t="shared" si="3"/>
        <v>0</v>
      </c>
      <c r="I25" s="68"/>
      <c r="J25" s="68"/>
      <c r="K25" s="68"/>
      <c r="L25" s="68"/>
      <c r="M25" s="25" t="str">
        <f>IFERROR(VLOOKUP(B25,#REF!,6,FALSE),"")</f>
        <v/>
      </c>
    </row>
    <row r="26" spans="1:13" x14ac:dyDescent="0.25">
      <c r="A26" s="15"/>
      <c r="B26" s="94"/>
      <c r="C26" s="25" t="str">
        <f>IF(B26="","",VLOOKUP(B26,'Metered Electricity'!$B$22:$C$251,2,FALSE))</f>
        <v/>
      </c>
      <c r="D26" s="15"/>
      <c r="E26" s="9" t="str">
        <f t="shared" si="1"/>
        <v/>
      </c>
      <c r="F26" s="68"/>
      <c r="G26" s="9" t="str">
        <f t="shared" si="2"/>
        <v/>
      </c>
      <c r="H26" s="9">
        <f t="shared" si="3"/>
        <v>0</v>
      </c>
      <c r="I26" s="68"/>
      <c r="J26" s="68"/>
      <c r="K26" s="68"/>
      <c r="L26" s="68"/>
      <c r="M26" s="25" t="str">
        <f>IFERROR(VLOOKUP(B26,#REF!,6,FALSE),"")</f>
        <v/>
      </c>
    </row>
    <row r="27" spans="1:13" x14ac:dyDescent="0.25">
      <c r="A27" s="15"/>
      <c r="B27" s="94"/>
      <c r="C27" s="25" t="str">
        <f>IF(B27="","",VLOOKUP(B27,'Metered Electricity'!$B$22:$C$251,2,FALSE))</f>
        <v/>
      </c>
      <c r="D27" s="15"/>
      <c r="E27" s="9" t="str">
        <f t="shared" si="1"/>
        <v/>
      </c>
      <c r="F27" s="68"/>
      <c r="G27" s="9" t="str">
        <f t="shared" si="2"/>
        <v/>
      </c>
      <c r="H27" s="9">
        <f t="shared" si="3"/>
        <v>0</v>
      </c>
      <c r="I27" s="68"/>
      <c r="J27" s="68"/>
      <c r="K27" s="68"/>
      <c r="L27" s="68"/>
      <c r="M27" s="25" t="str">
        <f>IFERROR(VLOOKUP(B27,#REF!,6,FALSE),"")</f>
        <v/>
      </c>
    </row>
    <row r="28" spans="1:13" x14ac:dyDescent="0.25">
      <c r="A28" s="15"/>
      <c r="B28" s="94"/>
      <c r="C28" s="25" t="str">
        <f>IF(B28="","",VLOOKUP(B28,'Metered Electricity'!$B$22:$C$251,2,FALSE))</f>
        <v/>
      </c>
      <c r="D28" s="15"/>
      <c r="E28" s="9" t="str">
        <f t="shared" si="1"/>
        <v/>
      </c>
      <c r="F28" s="68"/>
      <c r="G28" s="9" t="str">
        <f t="shared" si="2"/>
        <v/>
      </c>
      <c r="H28" s="9">
        <f t="shared" si="3"/>
        <v>0</v>
      </c>
      <c r="I28" s="68"/>
      <c r="J28" s="68"/>
      <c r="K28" s="68"/>
      <c r="L28" s="68"/>
      <c r="M28" s="25" t="str">
        <f>IFERROR(VLOOKUP(B28,#REF!,6,FALSE),"")</f>
        <v/>
      </c>
    </row>
    <row r="29" spans="1:13" x14ac:dyDescent="0.25">
      <c r="A29" s="15"/>
      <c r="B29" s="94"/>
      <c r="C29" s="25" t="str">
        <f>IF(B29="","",VLOOKUP(B29,'Metered Electricity'!$B$22:$C$251,2,FALSE))</f>
        <v/>
      </c>
      <c r="D29" s="15"/>
      <c r="E29" s="9" t="str">
        <f t="shared" si="1"/>
        <v/>
      </c>
      <c r="F29" s="68"/>
      <c r="G29" s="9" t="str">
        <f t="shared" si="2"/>
        <v/>
      </c>
      <c r="H29" s="9">
        <f t="shared" si="3"/>
        <v>0</v>
      </c>
      <c r="I29" s="68"/>
      <c r="J29" s="68"/>
      <c r="K29" s="68"/>
      <c r="L29" s="68"/>
      <c r="M29" s="25" t="str">
        <f>IFERROR(VLOOKUP(B29,#REF!,6,FALSE),"")</f>
        <v/>
      </c>
    </row>
    <row r="30" spans="1:13" x14ac:dyDescent="0.25">
      <c r="A30" s="15"/>
      <c r="B30" s="94"/>
      <c r="C30" s="25" t="str">
        <f>IF(B30="","",VLOOKUP(B30,'Metered Electricity'!$B$22:$C$251,2,FALSE))</f>
        <v/>
      </c>
      <c r="D30" s="15"/>
      <c r="E30" s="9" t="str">
        <f t="shared" si="1"/>
        <v/>
      </c>
      <c r="F30" s="68"/>
      <c r="G30" s="9" t="str">
        <f t="shared" si="2"/>
        <v/>
      </c>
      <c r="H30" s="9">
        <f t="shared" si="3"/>
        <v>0</v>
      </c>
      <c r="I30" s="68"/>
      <c r="J30" s="68"/>
      <c r="K30" s="68"/>
      <c r="L30" s="68"/>
      <c r="M30" s="25" t="str">
        <f>IFERROR(VLOOKUP(B30,#REF!,6,FALSE),"")</f>
        <v/>
      </c>
    </row>
    <row r="31" spans="1:13" x14ac:dyDescent="0.25">
      <c r="A31" s="15"/>
      <c r="B31" s="94"/>
      <c r="C31" s="25" t="str">
        <f>IF(B31="","",VLOOKUP(B31,'Metered Electricity'!$B$22:$C$251,2,FALSE))</f>
        <v/>
      </c>
      <c r="D31" s="15"/>
      <c r="E31" s="9" t="str">
        <f t="shared" si="1"/>
        <v/>
      </c>
      <c r="F31" s="68"/>
      <c r="G31" s="9" t="str">
        <f t="shared" si="2"/>
        <v/>
      </c>
      <c r="H31" s="9">
        <f t="shared" si="3"/>
        <v>0</v>
      </c>
      <c r="I31" s="68"/>
      <c r="J31" s="68"/>
      <c r="K31" s="68"/>
      <c r="L31" s="68"/>
      <c r="M31" s="25" t="str">
        <f>IFERROR(VLOOKUP(B31,#REF!,6,FALSE),"")</f>
        <v/>
      </c>
    </row>
  </sheetData>
  <sheetProtection algorithmName="SHA-512" hashValue="VeQATWcqgVq71N+bHQaND0Fl+8sPkWQ9lLR22ChKLZV3Di0nZYx7nzMvx1TpOr4JvOdVsjQzve+7r7mpQSm2TA==" saltValue="3/SqdPzgsdoea/kkNZFF3w==" spinCount="100000" sheet="1" objects="1" scenarios="1" selectLockedCells="1" selectUnlockedCells="1"/>
  <mergeCells count="4">
    <mergeCell ref="I14:L14"/>
    <mergeCell ref="C12:K12"/>
    <mergeCell ref="A5:G5"/>
    <mergeCell ref="A6:G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40DC7-2837-48A0-953B-9F1786017422}">
  <dimension ref="A1:L280"/>
  <sheetViews>
    <sheetView topLeftCell="A3" workbookViewId="0">
      <selection activeCell="B54" sqref="B54"/>
    </sheetView>
  </sheetViews>
  <sheetFormatPr defaultRowHeight="15" x14ac:dyDescent="0.25"/>
  <cols>
    <col min="1" max="1" width="49.42578125" customWidth="1"/>
    <col min="2" max="2" width="18.28515625" customWidth="1"/>
    <col min="3" max="3" width="23.140625" customWidth="1"/>
    <col min="4" max="4" width="30.28515625" customWidth="1"/>
    <col min="5" max="6" width="16.7109375" customWidth="1"/>
    <col min="7" max="7" width="16.140625" customWidth="1"/>
    <col min="8" max="8" width="22.85546875" customWidth="1"/>
    <col min="9" max="9" width="16.42578125" customWidth="1"/>
    <col min="10" max="10" width="13.42578125" customWidth="1"/>
  </cols>
  <sheetData>
    <row r="1" spans="1:9" ht="18.75" x14ac:dyDescent="0.3">
      <c r="A1" s="1" t="str">
        <f>_xlfn.CONCAT(Summary!B7," - Fuel: Stationary Use and Fleet Use - ",Summary!B9)</f>
        <v xml:space="preserve"> - Fuel: Stationary Use and Fleet Use - </v>
      </c>
    </row>
    <row r="3" spans="1:9" ht="30" customHeight="1" x14ac:dyDescent="0.25">
      <c r="A3" s="190" t="s">
        <v>293</v>
      </c>
      <c r="B3" s="190"/>
      <c r="C3" s="190"/>
      <c r="D3" s="190"/>
      <c r="E3" s="190"/>
      <c r="F3" s="190"/>
    </row>
    <row r="4" spans="1:9" ht="33.75" customHeight="1" x14ac:dyDescent="0.25">
      <c r="A4" s="190" t="s">
        <v>292</v>
      </c>
      <c r="B4" s="190"/>
      <c r="C4" s="190"/>
      <c r="D4" s="190"/>
      <c r="E4" s="190"/>
      <c r="F4" s="190"/>
    </row>
    <row r="5" spans="1:9" ht="21.75" customHeight="1" x14ac:dyDescent="0.25">
      <c r="A5" t="s">
        <v>137</v>
      </c>
    </row>
    <row r="7" spans="1:9" ht="15.75" x14ac:dyDescent="0.25">
      <c r="A7" s="7" t="s">
        <v>71</v>
      </c>
    </row>
    <row r="8" spans="1:9" ht="34.5" customHeight="1" x14ac:dyDescent="0.25">
      <c r="A8" s="197" t="s">
        <v>544</v>
      </c>
      <c r="B8" s="197"/>
      <c r="C8" s="197"/>
      <c r="D8" s="197"/>
      <c r="E8" s="197"/>
      <c r="F8" s="197"/>
      <c r="G8" s="36"/>
    </row>
    <row r="9" spans="1:9" ht="12.75" customHeight="1" x14ac:dyDescent="0.25">
      <c r="A9" s="45"/>
      <c r="B9" s="45"/>
      <c r="C9" s="36"/>
      <c r="D9" s="36"/>
      <c r="E9" s="36"/>
      <c r="F9" s="36"/>
      <c r="G9" s="36"/>
    </row>
    <row r="10" spans="1:9" ht="45" customHeight="1" x14ac:dyDescent="0.25">
      <c r="A10" s="54" t="s">
        <v>300</v>
      </c>
      <c r="B10" s="71" t="s">
        <v>296</v>
      </c>
      <c r="C10" s="36"/>
      <c r="D10" s="36"/>
      <c r="E10" s="36"/>
      <c r="F10" s="36"/>
      <c r="G10" s="36"/>
    </row>
    <row r="11" spans="1:9" ht="20.25" customHeight="1" x14ac:dyDescent="0.25">
      <c r="B11" s="36"/>
      <c r="C11" s="36"/>
      <c r="D11" s="36"/>
      <c r="E11" s="36"/>
      <c r="F11" s="36"/>
      <c r="G11" s="36"/>
    </row>
    <row r="12" spans="1:9" s="3" customFormat="1" ht="30" x14ac:dyDescent="0.25">
      <c r="A12" s="70" t="s">
        <v>291</v>
      </c>
      <c r="D12" s="19" t="s">
        <v>136</v>
      </c>
      <c r="E12" s="19" t="s">
        <v>99</v>
      </c>
      <c r="H12" s="209" t="s">
        <v>85</v>
      </c>
      <c r="I12" s="209"/>
    </row>
    <row r="13" spans="1:9" s="3" customFormat="1" x14ac:dyDescent="0.25">
      <c r="A13" s="53" t="s">
        <v>294</v>
      </c>
      <c r="B13" s="19"/>
      <c r="C13" s="19"/>
      <c r="D13" s="80">
        <f>SUM(E16:E20)</f>
        <v>0</v>
      </c>
      <c r="E13" s="79">
        <f>SUM(F16:F20)</f>
        <v>0</v>
      </c>
      <c r="H13" s="11" t="s">
        <v>76</v>
      </c>
      <c r="I13" s="11" t="s">
        <v>77</v>
      </c>
    </row>
    <row r="14" spans="1:9" s="3" customFormat="1" x14ac:dyDescent="0.25">
      <c r="A14" s="72"/>
      <c r="B14" s="34"/>
      <c r="C14" s="34"/>
      <c r="D14" s="73"/>
      <c r="E14" s="73"/>
      <c r="H14" s="11" t="s">
        <v>78</v>
      </c>
      <c r="I14" s="13">
        <f>3.7*1.96</f>
        <v>7.2519999999999998</v>
      </c>
    </row>
    <row r="15" spans="1:9" s="3" customFormat="1" ht="30.75" customHeight="1" x14ac:dyDescent="0.25">
      <c r="A15" s="6" t="s">
        <v>324</v>
      </c>
      <c r="B15" s="6" t="s">
        <v>100</v>
      </c>
      <c r="C15" s="19" t="s">
        <v>298</v>
      </c>
      <c r="D15" s="19" t="s">
        <v>299</v>
      </c>
      <c r="E15" s="19" t="str">
        <f>D12</f>
        <v>Energy Content (GJ)</v>
      </c>
      <c r="F15" s="19" t="str">
        <f>E12</f>
        <v>GHG Emissions (tCO2-e)</v>
      </c>
      <c r="H15" s="11" t="s">
        <v>79</v>
      </c>
      <c r="I15" s="13">
        <f>8.5*1.96</f>
        <v>16.66</v>
      </c>
    </row>
    <row r="16" spans="1:9" x14ac:dyDescent="0.25">
      <c r="A16" s="4" t="s">
        <v>94</v>
      </c>
      <c r="B16" s="47" t="s">
        <v>325</v>
      </c>
      <c r="C16" s="78">
        <f>'Data Input'!B63</f>
        <v>0</v>
      </c>
      <c r="D16" s="77">
        <f>SUM(B24:B30)</f>
        <v>0</v>
      </c>
      <c r="E16" s="77">
        <f>IF($B$10="Fuel Use for each Activity Category &amp; Fuel Type",D16,Fuel!C16)/1000*'Factors and Tables'!B99</f>
        <v>0</v>
      </c>
      <c r="F16" s="77">
        <f>E16*'Factors and Tables'!C121</f>
        <v>0</v>
      </c>
      <c r="H16" s="11" t="s">
        <v>84</v>
      </c>
      <c r="I16" s="13">
        <f>15*1.96</f>
        <v>29.4</v>
      </c>
    </row>
    <row r="17" spans="1:9" x14ac:dyDescent="0.25">
      <c r="A17" s="4" t="s">
        <v>328</v>
      </c>
      <c r="B17" s="47" t="s">
        <v>326</v>
      </c>
      <c r="C17" s="78">
        <f>'Data Input'!B64</f>
        <v>0</v>
      </c>
      <c r="D17" s="77">
        <f>SUM(C24:C30)</f>
        <v>0</v>
      </c>
      <c r="E17" s="77">
        <f>IF($B$10="Fuel Use for each Activity Category &amp; Fuel Type",D17,Fuel!C17)</f>
        <v>0</v>
      </c>
      <c r="F17" s="77">
        <f>E17*'Factors and Tables'!C122</f>
        <v>0</v>
      </c>
      <c r="H17" s="11" t="s">
        <v>80</v>
      </c>
      <c r="I17" s="13">
        <f>18*1.96</f>
        <v>35.28</v>
      </c>
    </row>
    <row r="18" spans="1:9" x14ac:dyDescent="0.25">
      <c r="A18" s="4" t="s">
        <v>329</v>
      </c>
      <c r="B18" s="47" t="s">
        <v>325</v>
      </c>
      <c r="C18" s="78">
        <f>'Data Input'!B65</f>
        <v>0</v>
      </c>
      <c r="D18" s="77">
        <f>SUM(D24:D30)</f>
        <v>0</v>
      </c>
      <c r="E18" s="77">
        <f>IF($B$10="Fuel Use for each Activity Category &amp; Fuel Type",D18,Fuel!C18)/1000*'Factors and Tables'!B96</f>
        <v>0</v>
      </c>
      <c r="F18" s="77">
        <f>E18*'Factors and Tables'!C123</f>
        <v>0</v>
      </c>
      <c r="H18" s="11" t="s">
        <v>81</v>
      </c>
      <c r="I18" s="13">
        <v>88</v>
      </c>
    </row>
    <row r="19" spans="1:9" x14ac:dyDescent="0.25">
      <c r="A19" s="4" t="s">
        <v>91</v>
      </c>
      <c r="B19" s="47" t="s">
        <v>325</v>
      </c>
      <c r="C19" s="78">
        <f>'Data Input'!B66</f>
        <v>0</v>
      </c>
      <c r="D19" s="77">
        <f>SUM(E24:E30)</f>
        <v>0</v>
      </c>
      <c r="E19" s="77">
        <f>IF($B$10="Fuel Use for each Activity Category &amp; Fuel Type",D19,Fuel!C19)/1000*'Factors and Tables'!B97</f>
        <v>0</v>
      </c>
      <c r="F19" s="77">
        <f>E19*'Factors and Tables'!C124</f>
        <v>0</v>
      </c>
      <c r="H19" s="11" t="s">
        <v>82</v>
      </c>
      <c r="I19" s="13">
        <v>176</v>
      </c>
    </row>
    <row r="20" spans="1:9" x14ac:dyDescent="0.25">
      <c r="A20" s="4" t="s">
        <v>330</v>
      </c>
      <c r="B20" s="47" t="s">
        <v>327</v>
      </c>
      <c r="C20" s="78">
        <f>'Data Input'!B67</f>
        <v>0</v>
      </c>
      <c r="D20" s="77">
        <f>SUM(F24:F30)</f>
        <v>0</v>
      </c>
      <c r="E20" s="77">
        <f>IF($B$10="Fuel Use for each Activity Category &amp; Fuel Type",D20,Fuel!C20)*'Factors and Tables'!B106</f>
        <v>0</v>
      </c>
      <c r="F20" s="77">
        <f>E20*'Factors and Tables'!C125</f>
        <v>0</v>
      </c>
      <c r="H20" s="11" t="s">
        <v>83</v>
      </c>
      <c r="I20" s="13">
        <v>411</v>
      </c>
    </row>
    <row r="21" spans="1:9" x14ac:dyDescent="0.25">
      <c r="A21" s="58" t="s">
        <v>493</v>
      </c>
      <c r="B21" s="125"/>
      <c r="C21" s="127"/>
      <c r="D21" s="127"/>
      <c r="E21" s="126">
        <f>SUM(E16:E20)</f>
        <v>0</v>
      </c>
      <c r="F21" s="142">
        <f>SUM(F16:F20)</f>
        <v>0</v>
      </c>
      <c r="H21" s="123"/>
      <c r="I21" s="124"/>
    </row>
    <row r="23" spans="1:9" x14ac:dyDescent="0.25">
      <c r="A23" s="26" t="s">
        <v>72</v>
      </c>
      <c r="B23" s="19" t="s">
        <v>73</v>
      </c>
      <c r="C23" s="19" t="s">
        <v>74</v>
      </c>
      <c r="D23" s="19" t="s">
        <v>132</v>
      </c>
      <c r="E23" s="19" t="s">
        <v>133</v>
      </c>
      <c r="F23" s="19" t="s">
        <v>182</v>
      </c>
      <c r="G23" s="19" t="s">
        <v>199</v>
      </c>
      <c r="H23" s="19" t="str">
        <f>E12</f>
        <v>GHG Emissions (tCO2-e)</v>
      </c>
    </row>
    <row r="24" spans="1:9" x14ac:dyDescent="0.25">
      <c r="A24" s="4" t="str">
        <f>'Factors and Tables'!A17</f>
        <v>Office &amp; Administration</v>
      </c>
      <c r="B24" s="69"/>
      <c r="C24" s="69"/>
      <c r="D24" s="69"/>
      <c r="E24" s="69"/>
      <c r="F24" s="69"/>
      <c r="G24" s="57">
        <f>SUM(B24/1000*'Factors and Tables'!B$99,C24,D24/1000*'Factors and Tables'!B$96,E24/1000*'Factors and Tables'!B$97,F24*'Factors and Tables'!B$106)</f>
        <v>0</v>
      </c>
      <c r="H24" s="92">
        <f>SUM(B24*'Factors and Tables'!B$121*'Factors and Tables'!C$121,C24*'Factors and Tables'!B$122*'Factors and Tables'!C$122,D24*'Factors and Tables'!B$123*'Factors and Tables'!C$123,E24*'Factors and Tables'!B$124*'Factors and Tables'!C$124,Fuel!F24*'Factors and Tables'!B$125*'Factors and Tables'!C$125)</f>
        <v>0</v>
      </c>
    </row>
    <row r="25" spans="1:9" x14ac:dyDescent="0.25">
      <c r="A25" s="4" t="str">
        <f>'Factors and Tables'!A18</f>
        <v>Depot Operations</v>
      </c>
      <c r="B25" s="69"/>
      <c r="C25" s="69"/>
      <c r="D25" s="69"/>
      <c r="E25" s="69"/>
      <c r="F25" s="69"/>
      <c r="G25" s="57">
        <f>SUM(B25/1000*'Factors and Tables'!B$99,C25,D25/1000*'Factors and Tables'!B$96,E25/1000*'Factors and Tables'!B$97,F25*'Factors and Tables'!B$106)</f>
        <v>0</v>
      </c>
      <c r="H25" s="92">
        <f>SUM(B25*'Factors and Tables'!B$121*'Factors and Tables'!C$121,C25*'Factors and Tables'!B$122*'Factors and Tables'!C$122,D25*'Factors and Tables'!B$123*'Factors and Tables'!C$123,E25*'Factors and Tables'!B$124*'Factors and Tables'!C$124,Fuel!F25*'Factors and Tables'!B$125*'Factors and Tables'!C$125)</f>
        <v>0</v>
      </c>
    </row>
    <row r="26" spans="1:9" x14ac:dyDescent="0.25">
      <c r="A26" s="4" t="str">
        <f>'Factors and Tables'!A19</f>
        <v>Parks</v>
      </c>
      <c r="B26" s="69"/>
      <c r="C26" s="69"/>
      <c r="D26" s="69"/>
      <c r="E26" s="69"/>
      <c r="F26" s="69"/>
      <c r="G26" s="57">
        <f>SUM(B26/1000*'Factors and Tables'!B$99,C26,D26/1000*'Factors and Tables'!B$96,E26/1000*'Factors and Tables'!B$97,F26*'Factors and Tables'!B$106)</f>
        <v>0</v>
      </c>
      <c r="H26" s="92">
        <f>SUM(B26*'Factors and Tables'!B$121*'Factors and Tables'!C$121,C26*'Factors and Tables'!B$122*'Factors and Tables'!C$122,D26*'Factors and Tables'!B$123*'Factors and Tables'!C$123,E26*'Factors and Tables'!B$124*'Factors and Tables'!C$124,Fuel!F26*'Factors and Tables'!B$125*'Factors and Tables'!C$125)</f>
        <v>0</v>
      </c>
    </row>
    <row r="27" spans="1:9" x14ac:dyDescent="0.25">
      <c r="A27" s="4" t="str">
        <f>'Factors and Tables'!H102</f>
        <v>General Fleet Operations</v>
      </c>
      <c r="B27" s="69"/>
      <c r="C27" s="69"/>
      <c r="D27" s="69"/>
      <c r="E27" s="69"/>
      <c r="F27" s="69"/>
      <c r="G27" s="57"/>
      <c r="H27" s="92">
        <f>SUM(B27*'Factors and Tables'!B$121*'Factors and Tables'!C$121,C27*'Factors and Tables'!B$122*'Factors and Tables'!C$122,D27*'Factors and Tables'!B$123*'Factors and Tables'!C$123,E27*'Factors and Tables'!B$124*'Factors and Tables'!C$124,Fuel!F27*'Factors and Tables'!B$125*'Factors and Tables'!C$125)</f>
        <v>0</v>
      </c>
    </row>
    <row r="28" spans="1:9" x14ac:dyDescent="0.25">
      <c r="A28" s="4" t="str">
        <f>'Factors and Tables'!A20</f>
        <v>Outdoor Sporting &amp; Clubrooms</v>
      </c>
      <c r="B28" s="69"/>
      <c r="C28" s="69"/>
      <c r="D28" s="69"/>
      <c r="E28" s="69"/>
      <c r="F28" s="69"/>
      <c r="G28" s="57">
        <f>SUM(B28/1000*'Factors and Tables'!B$99,C28,D28/1000*'Factors and Tables'!B$96,E28/1000*'Factors and Tables'!B$97,F28*'Factors and Tables'!B$106)</f>
        <v>0</v>
      </c>
      <c r="H28" s="92">
        <f>SUM(B28*'Factors and Tables'!B$121*'Factors and Tables'!C$121,C28*'Factors and Tables'!B$122*'Factors and Tables'!C$122,D28*'Factors and Tables'!B$123*'Factors and Tables'!C$123,E28*'Factors and Tables'!B$124*'Factors and Tables'!C$124,Fuel!F28*'Factors and Tables'!B$125*'Factors and Tables'!C$125)</f>
        <v>0</v>
      </c>
    </row>
    <row r="29" spans="1:9" x14ac:dyDescent="0.25">
      <c r="A29" s="4" t="str">
        <f>'Factors and Tables'!A21</f>
        <v>Community Services &amp; Halls</v>
      </c>
      <c r="B29" s="69"/>
      <c r="C29" s="69"/>
      <c r="D29" s="69"/>
      <c r="E29" s="69"/>
      <c r="F29" s="69"/>
      <c r="G29" s="57">
        <f>SUM(B29/1000*'Factors and Tables'!B$99,C29,D29/1000*'Factors and Tables'!B$96,E29/1000*'Factors and Tables'!B$97,F29*'Factors and Tables'!B$106)</f>
        <v>0</v>
      </c>
      <c r="H29" s="92">
        <f>SUM(B29*'Factors and Tables'!B$121*'Factors and Tables'!C$121,C29*'Factors and Tables'!B$122*'Factors and Tables'!C$122,D29*'Factors and Tables'!B$123*'Factors and Tables'!C$123,E29*'Factors and Tables'!B$124*'Factors and Tables'!C$124,Fuel!F29*'Factors and Tables'!B$125*'Factors and Tables'!C$125)</f>
        <v>0</v>
      </c>
    </row>
    <row r="30" spans="1:9" x14ac:dyDescent="0.25">
      <c r="A30" s="4" t="str">
        <f>'Factors and Tables'!A22</f>
        <v>Aquatic Centres &amp; Gyms</v>
      </c>
      <c r="B30" s="69"/>
      <c r="C30" s="69"/>
      <c r="D30" s="69"/>
      <c r="E30" s="69"/>
      <c r="F30" s="69"/>
      <c r="G30" s="57">
        <f>SUM(B30/1000*'Factors and Tables'!B$99,C30,D30/1000*'Factors and Tables'!B$96,E30/1000*'Factors and Tables'!B$97,F30*'Factors and Tables'!B$106)</f>
        <v>0</v>
      </c>
      <c r="H30" s="92">
        <f>SUM(B30*'Factors and Tables'!B$121*'Factors and Tables'!C$121,C30*'Factors and Tables'!B$122*'Factors and Tables'!C$122,D30*'Factors and Tables'!B$123*'Factors and Tables'!C$123,E30*'Factors and Tables'!B$124*'Factors and Tables'!C$124,Fuel!F30*'Factors and Tables'!B$125*'Factors and Tables'!C$125)</f>
        <v>0</v>
      </c>
    </row>
    <row r="31" spans="1:9" x14ac:dyDescent="0.25">
      <c r="A31" s="4" t="str">
        <f>'Factors and Tables'!A23</f>
        <v>Carpark Operations &amp; Vehicle Chargers</v>
      </c>
      <c r="B31" s="69"/>
      <c r="C31" s="69"/>
      <c r="D31" s="69"/>
      <c r="E31" s="69"/>
      <c r="F31" s="69"/>
      <c r="G31" s="57">
        <f>SUM(B31/1000*'Factors and Tables'!B$99,C31,D31/1000*'Factors and Tables'!B$96,E31/1000*'Factors and Tables'!B$97,F31*'Factors and Tables'!B$106)</f>
        <v>0</v>
      </c>
      <c r="H31" s="92">
        <f>SUM(B31*'Factors and Tables'!B$121*'Factors and Tables'!C$121,C31*'Factors and Tables'!B$122*'Factors and Tables'!C$122,D31*'Factors and Tables'!B$123*'Factors and Tables'!C$123,E31*'Factors and Tables'!B$124*'Factors and Tables'!C$124,Fuel!F31*'Factors and Tables'!B$125*'Factors and Tables'!C$125)</f>
        <v>0</v>
      </c>
    </row>
    <row r="32" spans="1:9" x14ac:dyDescent="0.25">
      <c r="A32" s="4" t="str">
        <f>'Factors and Tables'!A24</f>
        <v>Street Lighting (incl Metered)</v>
      </c>
      <c r="B32" s="69"/>
      <c r="C32" s="69"/>
      <c r="D32" s="69"/>
      <c r="E32" s="69"/>
      <c r="F32" s="69"/>
      <c r="G32" s="57">
        <f>SUM(B32/1000*'Factors and Tables'!B$99,C32,D32/1000*'Factors and Tables'!B$96,E32/1000*'Factors and Tables'!B$97,F32*'Factors and Tables'!B$106)</f>
        <v>0</v>
      </c>
      <c r="H32" s="92">
        <f>SUM(B32*'Factors and Tables'!B$121*'Factors and Tables'!C$121,C32*'Factors and Tables'!B$122*'Factors and Tables'!C$122,D32*'Factors and Tables'!B$123*'Factors and Tables'!C$123,E32*'Factors and Tables'!B$124*'Factors and Tables'!C$124,Fuel!F32*'Factors and Tables'!B$125*'Factors and Tables'!C$125)</f>
        <v>0</v>
      </c>
    </row>
    <row r="33" spans="1:8" x14ac:dyDescent="0.25">
      <c r="A33" s="4" t="str">
        <f>'Factors and Tables'!A25</f>
        <v>Waste Facilities &amp; Transport</v>
      </c>
      <c r="B33" s="69"/>
      <c r="C33" s="69"/>
      <c r="D33" s="69"/>
      <c r="E33" s="69"/>
      <c r="F33" s="69"/>
      <c r="G33" s="57">
        <f>SUM(B33/1000*'Factors and Tables'!B$99,C33,D33/1000*'Factors and Tables'!B$96,E33/1000*'Factors and Tables'!B$97,F33*'Factors and Tables'!B$106)</f>
        <v>0</v>
      </c>
      <c r="H33" s="92">
        <f>SUM(B33*'Factors and Tables'!B$121*'Factors and Tables'!C$121,C33*'Factors and Tables'!B$122*'Factors and Tables'!C$122,D33*'Factors and Tables'!B$123*'Factors and Tables'!C$123,E33*'Factors and Tables'!B$124*'Factors and Tables'!C$124,Fuel!F33*'Factors and Tables'!B$125*'Factors and Tables'!C$125)</f>
        <v>0</v>
      </c>
    </row>
    <row r="34" spans="1:8" x14ac:dyDescent="0.25">
      <c r="A34" s="4" t="str">
        <f>'Factors and Tables'!H104</f>
        <v>Civil Works</v>
      </c>
      <c r="B34" s="69"/>
      <c r="C34" s="69"/>
      <c r="D34" s="69"/>
      <c r="E34" s="69"/>
      <c r="F34" s="69"/>
      <c r="G34" s="57">
        <f>SUM(B34/1000*'Factors and Tables'!B$99,C34,D34/1000*'Factors and Tables'!B$96,E34/1000*'Factors and Tables'!B$97,F34*'Factors and Tables'!B$106)</f>
        <v>0</v>
      </c>
      <c r="H34" s="92">
        <f>SUM(B34*'Factors and Tables'!B$121*'Factors and Tables'!C$121,C34*'Factors and Tables'!B$122*'Factors and Tables'!C$122,D34*'Factors and Tables'!B$123*'Factors and Tables'!C$123,E34*'Factors and Tables'!B$124*'Factors and Tables'!C$124,Fuel!F34*'Factors and Tables'!B$125*'Factors and Tables'!C$125)</f>
        <v>0</v>
      </c>
    </row>
    <row r="35" spans="1:8" x14ac:dyDescent="0.25">
      <c r="A35" s="4" t="s">
        <v>578</v>
      </c>
      <c r="B35" s="69"/>
      <c r="C35" s="69"/>
      <c r="D35" s="69"/>
      <c r="E35" s="69"/>
      <c r="F35" s="69"/>
      <c r="G35" s="57">
        <v>0</v>
      </c>
      <c r="H35" s="92">
        <v>0</v>
      </c>
    </row>
    <row r="36" spans="1:8" x14ac:dyDescent="0.25">
      <c r="A36" s="4" t="s">
        <v>75</v>
      </c>
      <c r="B36" s="69"/>
      <c r="C36" s="69"/>
      <c r="D36" s="69"/>
      <c r="E36" s="69"/>
      <c r="F36" s="69"/>
      <c r="G36" s="57">
        <v>0</v>
      </c>
      <c r="H36" s="92">
        <v>0</v>
      </c>
    </row>
    <row r="37" spans="1:8" x14ac:dyDescent="0.25">
      <c r="H37" s="91"/>
    </row>
    <row r="38" spans="1:8" ht="17.25" customHeight="1" x14ac:dyDescent="0.25">
      <c r="A38" t="s">
        <v>494</v>
      </c>
    </row>
    <row r="39" spans="1:8" ht="29.25" customHeight="1" x14ac:dyDescent="0.25">
      <c r="A39" s="190" t="s">
        <v>545</v>
      </c>
      <c r="B39" s="190"/>
      <c r="C39" s="190"/>
      <c r="D39" s="190"/>
      <c r="E39" s="190"/>
      <c r="F39" s="190"/>
      <c r="G39" s="190"/>
      <c r="H39" s="190"/>
    </row>
    <row r="40" spans="1:8" ht="30.75" customHeight="1" x14ac:dyDescent="0.25">
      <c r="A40" s="7" t="s">
        <v>86</v>
      </c>
    </row>
    <row r="41" spans="1:8" ht="48" customHeight="1" x14ac:dyDescent="0.25">
      <c r="A41" s="190" t="s">
        <v>546</v>
      </c>
      <c r="B41" s="190"/>
      <c r="C41" s="190"/>
      <c r="D41" s="190"/>
      <c r="E41" s="190"/>
      <c r="F41" s="190"/>
      <c r="G41" s="190"/>
    </row>
    <row r="42" spans="1:8" ht="36.75" customHeight="1" x14ac:dyDescent="0.25">
      <c r="A42" s="190" t="s">
        <v>290</v>
      </c>
      <c r="B42" s="190"/>
      <c r="C42" s="190"/>
      <c r="D42" s="190"/>
      <c r="E42" s="190"/>
      <c r="F42" s="190"/>
      <c r="G42" s="190"/>
      <c r="H42" s="2"/>
    </row>
    <row r="43" spans="1:8" ht="30.75" customHeight="1" x14ac:dyDescent="0.25">
      <c r="A43" s="190" t="s">
        <v>103</v>
      </c>
      <c r="B43" s="190"/>
      <c r="C43" s="190"/>
      <c r="D43" s="190"/>
      <c r="E43" s="190"/>
      <c r="F43" s="190"/>
      <c r="G43" s="190"/>
      <c r="H43" s="2"/>
    </row>
    <row r="44" spans="1:8" ht="16.5" customHeight="1" x14ac:dyDescent="0.25">
      <c r="A44" s="190" t="s">
        <v>529</v>
      </c>
      <c r="B44" s="190"/>
      <c r="C44" s="190"/>
      <c r="D44" s="190"/>
      <c r="E44" s="190"/>
      <c r="F44" s="190"/>
      <c r="G44" s="190"/>
      <c r="H44" s="2"/>
    </row>
    <row r="45" spans="1:8" ht="14.25" customHeight="1" x14ac:dyDescent="0.25">
      <c r="A45" s="2"/>
      <c r="B45" s="2"/>
      <c r="C45" s="2"/>
      <c r="D45" s="2"/>
      <c r="E45" s="2"/>
      <c r="F45" s="2"/>
      <c r="G45" s="2"/>
      <c r="H45" s="2"/>
    </row>
    <row r="46" spans="1:8" ht="30.75" customHeight="1" x14ac:dyDescent="0.25">
      <c r="A46" s="82" t="s">
        <v>308</v>
      </c>
      <c r="B46" s="83" t="s">
        <v>310</v>
      </c>
      <c r="C46" s="205" t="s">
        <v>492</v>
      </c>
      <c r="D46" s="190"/>
      <c r="E46" s="190"/>
      <c r="F46" s="2"/>
      <c r="G46" s="2"/>
      <c r="H46" s="2"/>
    </row>
    <row r="48" spans="1:8" ht="15" customHeight="1" x14ac:dyDescent="0.25">
      <c r="A48" s="74" t="s">
        <v>101</v>
      </c>
      <c r="B48" s="2"/>
      <c r="C48" s="2"/>
      <c r="D48" s="2"/>
      <c r="E48" s="2"/>
      <c r="F48" s="2"/>
      <c r="G48" s="2"/>
      <c r="H48" s="2"/>
    </row>
    <row r="49" spans="1:12" ht="30" x14ac:dyDescent="0.25">
      <c r="A49" s="8" t="s">
        <v>87</v>
      </c>
      <c r="B49" s="19" t="s">
        <v>307</v>
      </c>
      <c r="C49" s="19" t="s">
        <v>306</v>
      </c>
      <c r="D49" s="6" t="s">
        <v>98</v>
      </c>
      <c r="E49" s="19" t="s">
        <v>99</v>
      </c>
    </row>
    <row r="50" spans="1:12" x14ac:dyDescent="0.25">
      <c r="A50" s="24" t="s">
        <v>134</v>
      </c>
      <c r="B50" s="163">
        <f>'Data Input'!B70</f>
        <v>0</v>
      </c>
      <c r="C50" s="81">
        <f>SUMIF(F$62:F$280,"Diesel",H$62:H$280)</f>
        <v>0</v>
      </c>
      <c r="D50" s="43">
        <f>IF(B$46='Factors and Tables'!H$90,Fuel!B50,C50)*'Factors and Tables'!B112</f>
        <v>0</v>
      </c>
      <c r="E50" s="44">
        <f>D50*'Factors and Tables'!C112</f>
        <v>0</v>
      </c>
    </row>
    <row r="51" spans="1:12" x14ac:dyDescent="0.25">
      <c r="A51" s="4" t="s">
        <v>301</v>
      </c>
      <c r="B51" s="163">
        <f>'Data Input'!B71</f>
        <v>0</v>
      </c>
      <c r="C51" s="81">
        <f>SUMIF(F$62:F$280,"Petrol",H$62:H$280)</f>
        <v>0</v>
      </c>
      <c r="D51" s="43">
        <f>IF(B$46='Factors and Tables'!H$90,Fuel!B51,C51)*'Factors and Tables'!B113</f>
        <v>0</v>
      </c>
      <c r="E51" s="44">
        <f>D51*'Factors and Tables'!C113</f>
        <v>0</v>
      </c>
    </row>
    <row r="52" spans="1:12" x14ac:dyDescent="0.25">
      <c r="A52" s="4" t="s">
        <v>302</v>
      </c>
      <c r="B52" s="163">
        <f>'Data Input'!B72</f>
        <v>0</v>
      </c>
      <c r="C52" s="81">
        <f>SUMIF(F$62:F$280,"E10",H$62:H$280)</f>
        <v>0</v>
      </c>
      <c r="D52" s="43">
        <f>IF(B$46='Factors and Tables'!H$90,Fuel!B52,C52)*'Factors and Tables'!B114</f>
        <v>0</v>
      </c>
      <c r="E52" s="44">
        <f>D52*'Factors and Tables'!C114</f>
        <v>0</v>
      </c>
    </row>
    <row r="53" spans="1:12" x14ac:dyDescent="0.25">
      <c r="A53" s="4" t="s">
        <v>303</v>
      </c>
      <c r="B53" s="163">
        <f>'Data Input'!B73</f>
        <v>0</v>
      </c>
      <c r="C53" s="81">
        <f>SUMIF(F$62:F$280,"LPG",H$62:H$280)</f>
        <v>0</v>
      </c>
      <c r="D53" s="43">
        <f>IF(B$46='Factors and Tables'!H$90,Fuel!B53,C53)*'Factors and Tables'!B115</f>
        <v>0</v>
      </c>
      <c r="E53" s="44">
        <f>D53*'Factors and Tables'!C115</f>
        <v>0</v>
      </c>
    </row>
    <row r="54" spans="1:12" x14ac:dyDescent="0.25">
      <c r="A54" s="4" t="s">
        <v>304</v>
      </c>
      <c r="B54" s="163">
        <f>'Data Input'!B74</f>
        <v>0</v>
      </c>
      <c r="C54" s="81">
        <f>SUMIF(F$62:F$280,"CNG",H$62:H$280)</f>
        <v>0</v>
      </c>
      <c r="D54" s="43">
        <f>IF(B$46='Factors and Tables'!H$90,Fuel!B54,C54)</f>
        <v>0</v>
      </c>
      <c r="E54" s="44">
        <f>D54*'Factors and Tables'!C116</f>
        <v>0</v>
      </c>
    </row>
    <row r="55" spans="1:12" x14ac:dyDescent="0.25">
      <c r="A55" s="4" t="s">
        <v>305</v>
      </c>
      <c r="B55" s="163">
        <f>'Data Input'!B75</f>
        <v>0</v>
      </c>
      <c r="C55" s="81">
        <f>SUMIF(F$62:F$280,"Electricity",H$62:H$280)</f>
        <v>0</v>
      </c>
      <c r="D55" s="43">
        <f>IF(Fuel!B55="",C55*0.0036,B55*0.0036)</f>
        <v>0</v>
      </c>
      <c r="E55" s="44" t="str">
        <f>IF(Summary!B9="","",D55*'Factors and Tables'!C117)</f>
        <v/>
      </c>
    </row>
    <row r="56" spans="1:12" x14ac:dyDescent="0.25">
      <c r="A56" s="8" t="s">
        <v>493</v>
      </c>
      <c r="B56" s="4"/>
      <c r="C56" s="120"/>
      <c r="D56" s="119">
        <f>SUM(D50:D55)</f>
        <v>0</v>
      </c>
      <c r="E56" s="148">
        <f>SUM(E50:E55)</f>
        <v>0</v>
      </c>
    </row>
    <row r="57" spans="1:12" x14ac:dyDescent="0.25">
      <c r="B57" s="56"/>
      <c r="D57" s="75"/>
      <c r="E57" s="76"/>
    </row>
    <row r="58" spans="1:12" ht="32.25" customHeight="1" x14ac:dyDescent="0.25">
      <c r="A58" s="190" t="s">
        <v>295</v>
      </c>
      <c r="B58" s="190"/>
      <c r="C58" s="190"/>
      <c r="D58" s="190"/>
      <c r="E58" s="190"/>
      <c r="F58" s="190"/>
      <c r="G58" s="190"/>
      <c r="H58" s="2"/>
    </row>
    <row r="59" spans="1:12" ht="14.25" customHeight="1" x14ac:dyDescent="0.25">
      <c r="A59" s="2"/>
      <c r="B59" s="2"/>
      <c r="C59" s="2"/>
      <c r="D59" s="2"/>
      <c r="E59" s="2"/>
      <c r="F59" s="2"/>
      <c r="G59" s="2"/>
      <c r="H59" s="2"/>
    </row>
    <row r="60" spans="1:12" x14ac:dyDescent="0.25">
      <c r="A60" s="3" t="s">
        <v>102</v>
      </c>
    </row>
    <row r="61" spans="1:12" x14ac:dyDescent="0.25">
      <c r="A61" s="8" t="s">
        <v>579</v>
      </c>
      <c r="B61" s="8" t="s">
        <v>580</v>
      </c>
      <c r="C61" s="6" t="s">
        <v>581</v>
      </c>
      <c r="D61" s="6" t="s">
        <v>582</v>
      </c>
      <c r="E61" s="6" t="s">
        <v>583</v>
      </c>
      <c r="F61" s="6" t="s">
        <v>87</v>
      </c>
      <c r="G61" s="6" t="s">
        <v>286</v>
      </c>
      <c r="H61" s="6" t="s">
        <v>88</v>
      </c>
      <c r="I61" s="6" t="s">
        <v>89</v>
      </c>
      <c r="J61" s="6" t="s">
        <v>199</v>
      </c>
      <c r="K61" s="6" t="s">
        <v>99</v>
      </c>
    </row>
    <row r="62" spans="1:12" x14ac:dyDescent="0.25">
      <c r="D62" s="69"/>
      <c r="E62" s="69"/>
      <c r="F62" s="69"/>
      <c r="G62" s="69"/>
      <c r="H62" s="10"/>
      <c r="I62" s="25" t="str">
        <f>IF(OR(F62="Diesel",F62="Petrol",F62="E10",F62="LPG"),"litres",IF(F62="CNG","GJ",IF(F62="Electricity","kWh","")))</f>
        <v/>
      </c>
      <c r="J62" s="77" t="str">
        <f>IF(H62="","",Fuel!H62*VLOOKUP(F62,'Factors and Tables'!$A$112:$B$117,2,FALSE))</f>
        <v/>
      </c>
      <c r="K62" s="46" t="str">
        <f>IF(OR(F62="",H62=""),"",J62*VLOOKUP(F62,'Factors and Tables'!$A$112:$C$117,3,FALSE))</f>
        <v/>
      </c>
    </row>
    <row r="63" spans="1:12" x14ac:dyDescent="0.25">
      <c r="D63" s="69"/>
      <c r="E63" s="69"/>
      <c r="F63" s="69"/>
      <c r="G63" s="69"/>
      <c r="H63" s="10"/>
      <c r="I63" s="25" t="str">
        <f>IF(OR(F63="Diesel",F63="Petrol",F63="E10",F63="LPG"),"litres",IF(F63="CNG","GJ",IF(F63="Electricity","kWh","")))</f>
        <v/>
      </c>
      <c r="J63" s="77" t="str">
        <f>IF(H63="","",Fuel!H63*VLOOKUP(F63,'Factors and Tables'!$A$112:$B$117,2,FALSE))</f>
        <v/>
      </c>
      <c r="K63" s="46" t="str">
        <f>IF(OR(F63="",H63=""),"",J63*VLOOKUP(F63,'Factors and Tables'!$A$112:$C$117,3,FALSE))</f>
        <v/>
      </c>
      <c r="L63" s="91"/>
    </row>
    <row r="64" spans="1:12" x14ac:dyDescent="0.25">
      <c r="D64" s="69"/>
      <c r="E64" s="69"/>
      <c r="F64" s="69"/>
      <c r="G64" s="69"/>
      <c r="H64" s="10"/>
      <c r="I64" s="25" t="str">
        <f t="shared" ref="I64:I108" si="0">IF(OR(F64="Diesel",F64="Petrol",F64="E10",F64="LPG"),"litres",IF(F64="CNG","GJ",IF(F64="Electricity","kWh","")))</f>
        <v/>
      </c>
      <c r="J64" s="77" t="str">
        <f>IF(H64="","",Fuel!H64*VLOOKUP(F64,'Factors and Tables'!$A$112:$B$117,2,FALSE))</f>
        <v/>
      </c>
      <c r="K64" s="46" t="str">
        <f>IF(OR(F64="",H64=""),"",J64*VLOOKUP(F64,'Factors and Tables'!$A$112:$C$117,3,FALSE))</f>
        <v/>
      </c>
      <c r="L64" s="91"/>
    </row>
    <row r="65" spans="4:12" x14ac:dyDescent="0.25">
      <c r="D65" s="69"/>
      <c r="E65" s="69"/>
      <c r="F65" s="69"/>
      <c r="G65" s="69"/>
      <c r="H65" s="10"/>
      <c r="I65" s="25" t="str">
        <f t="shared" si="0"/>
        <v/>
      </c>
      <c r="J65" s="77" t="str">
        <f>IF(H65="","",Fuel!H65*VLOOKUP(F65,'Factors and Tables'!$A$112:$B$117,2,FALSE))</f>
        <v/>
      </c>
      <c r="K65" s="46" t="str">
        <f>IF(OR(F65="",H65=""),"",J65*VLOOKUP(F65,'Factors and Tables'!$A$112:$C$117,3,FALSE))</f>
        <v/>
      </c>
      <c r="L65" s="91"/>
    </row>
    <row r="66" spans="4:12" x14ac:dyDescent="0.25">
      <c r="D66" s="69"/>
      <c r="E66" s="69"/>
      <c r="F66" s="69"/>
      <c r="G66" s="69"/>
      <c r="H66" s="10"/>
      <c r="I66" s="25" t="str">
        <f t="shared" si="0"/>
        <v/>
      </c>
      <c r="J66" s="77" t="str">
        <f>IF(H66="","",Fuel!H66*VLOOKUP(F66,'Factors and Tables'!$A$112:$B$117,2,FALSE))</f>
        <v/>
      </c>
      <c r="K66" s="46" t="str">
        <f>IF(OR(F66="",H66=""),"",J66*VLOOKUP(F66,'Factors and Tables'!$A$112:$C$117,3,FALSE))</f>
        <v/>
      </c>
      <c r="L66" s="91"/>
    </row>
    <row r="67" spans="4:12" x14ac:dyDescent="0.25">
      <c r="D67" s="69"/>
      <c r="E67" s="69"/>
      <c r="F67" s="69"/>
      <c r="G67" s="69"/>
      <c r="H67" s="10"/>
      <c r="I67" s="25" t="str">
        <f t="shared" si="0"/>
        <v/>
      </c>
      <c r="J67" s="77" t="str">
        <f>IF(H67="","",Fuel!H67*VLOOKUP(F67,'Factors and Tables'!$A$112:$B$117,2,FALSE))</f>
        <v/>
      </c>
      <c r="K67" s="46" t="str">
        <f>IF(OR(F67="",H67=""),"",J67*VLOOKUP(F67,'Factors and Tables'!$A$112:$C$117,3,FALSE))</f>
        <v/>
      </c>
      <c r="L67" s="91"/>
    </row>
    <row r="68" spans="4:12" x14ac:dyDescent="0.25">
      <c r="D68" s="69"/>
      <c r="E68" s="69"/>
      <c r="F68" s="69"/>
      <c r="G68" s="69"/>
      <c r="H68" s="10"/>
      <c r="I68" s="25" t="str">
        <f t="shared" si="0"/>
        <v/>
      </c>
      <c r="J68" s="77" t="str">
        <f>IF(H68="","",Fuel!H68*VLOOKUP(F68,'Factors and Tables'!$A$112:$B$117,2,FALSE))</f>
        <v/>
      </c>
      <c r="K68" s="46" t="str">
        <f>IF(OR(F68="",H68=""),"",J68*VLOOKUP(F68,'Factors and Tables'!$A$112:$C$117,3,FALSE))</f>
        <v/>
      </c>
      <c r="L68" s="91"/>
    </row>
    <row r="69" spans="4:12" x14ac:dyDescent="0.25">
      <c r="D69" s="69"/>
      <c r="E69" s="69"/>
      <c r="F69" s="69"/>
      <c r="G69" s="69"/>
      <c r="H69" s="10"/>
      <c r="I69" s="25" t="str">
        <f t="shared" si="0"/>
        <v/>
      </c>
      <c r="J69" s="77" t="str">
        <f>IF(H69="","",Fuel!H69*VLOOKUP(F69,'Factors and Tables'!$A$112:$B$117,2,FALSE))</f>
        <v/>
      </c>
      <c r="K69" s="46" t="str">
        <f>IF(OR(F69="",H69=""),"",J69*VLOOKUP(F69,'Factors and Tables'!$A$112:$C$117,3,FALSE))</f>
        <v/>
      </c>
      <c r="L69" s="91"/>
    </row>
    <row r="70" spans="4:12" x14ac:dyDescent="0.25">
      <c r="D70" s="69"/>
      <c r="E70" s="69"/>
      <c r="F70" s="69" t="s">
        <v>332</v>
      </c>
      <c r="G70" s="69"/>
      <c r="H70" s="10"/>
      <c r="I70" s="25" t="str">
        <f t="shared" si="0"/>
        <v/>
      </c>
      <c r="J70" s="77" t="str">
        <f>IF(H70="","",Fuel!H70*VLOOKUP(F70,'Factors and Tables'!$A$112:$B$117,2,FALSE))</f>
        <v/>
      </c>
      <c r="K70" s="46" t="str">
        <f>IF(OR(F70="",H70=""),"",J70*VLOOKUP(F70,'Factors and Tables'!$A$112:$C$117,3,FALSE))</f>
        <v/>
      </c>
    </row>
    <row r="71" spans="4:12" x14ac:dyDescent="0.25">
      <c r="D71" s="69"/>
      <c r="E71" s="69"/>
      <c r="F71" s="69" t="s">
        <v>332</v>
      </c>
      <c r="G71" s="69"/>
      <c r="H71" s="10"/>
      <c r="I71" s="25" t="str">
        <f t="shared" si="0"/>
        <v/>
      </c>
      <c r="J71" s="77" t="str">
        <f>IF(H71="","",Fuel!H71*VLOOKUP(F71,'Factors and Tables'!$A$112:$B$117,2,FALSE))</f>
        <v/>
      </c>
      <c r="K71" s="46" t="str">
        <f>IF(OR(F71="",H71=""),"",J71*VLOOKUP(F71,'Factors and Tables'!$A$112:$C$117,3,FALSE))</f>
        <v/>
      </c>
    </row>
    <row r="72" spans="4:12" x14ac:dyDescent="0.25">
      <c r="D72" s="69"/>
      <c r="E72" s="69"/>
      <c r="F72" s="69" t="s">
        <v>332</v>
      </c>
      <c r="G72" s="69"/>
      <c r="H72" s="10"/>
      <c r="I72" s="25" t="str">
        <f t="shared" si="0"/>
        <v/>
      </c>
      <c r="J72" s="77" t="str">
        <f>IF(H72="","",Fuel!H72*VLOOKUP(F72,'Factors and Tables'!$A$112:$B$117,2,FALSE))</f>
        <v/>
      </c>
      <c r="K72" s="46" t="str">
        <f>IF(OR(F72="",H72=""),"",J72*VLOOKUP(F72,'Factors and Tables'!$A$112:$C$117,3,FALSE))</f>
        <v/>
      </c>
    </row>
    <row r="73" spans="4:12" x14ac:dyDescent="0.25">
      <c r="D73" s="69"/>
      <c r="E73" s="69"/>
      <c r="F73" s="69" t="s">
        <v>332</v>
      </c>
      <c r="G73" s="69"/>
      <c r="H73" s="10"/>
      <c r="I73" s="25" t="str">
        <f t="shared" si="0"/>
        <v/>
      </c>
      <c r="J73" s="77" t="str">
        <f>IF(H73="","",Fuel!H73*VLOOKUP(F73,'Factors and Tables'!$A$112:$B$117,2,FALSE))</f>
        <v/>
      </c>
      <c r="K73" s="46" t="str">
        <f>IF(OR(F73="",H73=""),"",J73*VLOOKUP(F73,'Factors and Tables'!$A$112:$C$117,3,FALSE))</f>
        <v/>
      </c>
    </row>
    <row r="74" spans="4:12" x14ac:dyDescent="0.25">
      <c r="D74" s="69"/>
      <c r="E74" s="69"/>
      <c r="F74" s="69" t="s">
        <v>332</v>
      </c>
      <c r="G74" s="69"/>
      <c r="H74" s="10"/>
      <c r="I74" s="25" t="str">
        <f t="shared" si="0"/>
        <v/>
      </c>
      <c r="J74" s="77" t="str">
        <f>IF(H74="","",Fuel!H74*VLOOKUP(F74,'Factors and Tables'!$A$112:$B$117,2,FALSE))</f>
        <v/>
      </c>
      <c r="K74" s="46" t="str">
        <f>IF(OR(F74="",H74=""),"",J74*VLOOKUP(F74,'Factors and Tables'!$A$112:$C$117,3,FALSE))</f>
        <v/>
      </c>
    </row>
    <row r="75" spans="4:12" x14ac:dyDescent="0.25">
      <c r="D75" s="69"/>
      <c r="E75" s="69"/>
      <c r="F75" s="69" t="s">
        <v>332</v>
      </c>
      <c r="G75" s="69"/>
      <c r="H75" s="10"/>
      <c r="I75" s="25" t="str">
        <f t="shared" si="0"/>
        <v/>
      </c>
      <c r="J75" s="77" t="str">
        <f>IF(H75="","",Fuel!H75*VLOOKUP(F75,'Factors and Tables'!$A$112:$B$117,2,FALSE))</f>
        <v/>
      </c>
      <c r="K75" s="46" t="str">
        <f>IF(OR(F75="",H75=""),"",J75*VLOOKUP(F75,'Factors and Tables'!$A$112:$C$117,3,FALSE))</f>
        <v/>
      </c>
    </row>
    <row r="76" spans="4:12" x14ac:dyDescent="0.25">
      <c r="D76" s="69"/>
      <c r="E76" s="69"/>
      <c r="F76" s="69" t="s">
        <v>332</v>
      </c>
      <c r="G76" s="69"/>
      <c r="H76" s="10"/>
      <c r="I76" s="25" t="str">
        <f t="shared" si="0"/>
        <v/>
      </c>
      <c r="J76" s="77" t="str">
        <f>IF(H76="","",Fuel!H76*VLOOKUP(F76,'Factors and Tables'!$A$112:$B$117,2,FALSE))</f>
        <v/>
      </c>
      <c r="K76" s="46" t="str">
        <f>IF(OR(F76="",H76=""),"",J76*VLOOKUP(F76,'Factors and Tables'!$A$112:$C$117,3,FALSE))</f>
        <v/>
      </c>
    </row>
    <row r="77" spans="4:12" x14ac:dyDescent="0.25">
      <c r="D77" s="69"/>
      <c r="E77" s="69"/>
      <c r="F77" s="69" t="s">
        <v>332</v>
      </c>
      <c r="G77" s="69"/>
      <c r="H77" s="10"/>
      <c r="I77" s="25" t="str">
        <f t="shared" si="0"/>
        <v/>
      </c>
      <c r="J77" s="77" t="str">
        <f>IF(H77="","",Fuel!H77*VLOOKUP(F77,'Factors and Tables'!$A$112:$B$117,2,FALSE))</f>
        <v/>
      </c>
      <c r="K77" s="46" t="str">
        <f>IF(OR(F77="",H77=""),"",J77*VLOOKUP(F77,'Factors and Tables'!$A$112:$C$117,3,FALSE))</f>
        <v/>
      </c>
    </row>
    <row r="78" spans="4:12" x14ac:dyDescent="0.25">
      <c r="D78" s="69"/>
      <c r="E78" s="69"/>
      <c r="F78" s="69" t="s">
        <v>332</v>
      </c>
      <c r="G78" s="69"/>
      <c r="H78" s="10"/>
      <c r="I78" s="25" t="str">
        <f t="shared" si="0"/>
        <v/>
      </c>
      <c r="J78" s="77" t="str">
        <f>IF(H78="","",Fuel!H78*VLOOKUP(F78,'Factors and Tables'!$A$112:$B$117,2,FALSE))</f>
        <v/>
      </c>
      <c r="K78" s="46" t="str">
        <f>IF(OR(F78="",H78=""),"",J78*VLOOKUP(F78,'Factors and Tables'!$A$112:$C$117,3,FALSE))</f>
        <v/>
      </c>
    </row>
    <row r="79" spans="4:12" x14ac:dyDescent="0.25">
      <c r="D79" s="69"/>
      <c r="E79" s="69"/>
      <c r="F79" s="69" t="s">
        <v>332</v>
      </c>
      <c r="G79" s="69"/>
      <c r="H79" s="10"/>
      <c r="I79" s="25" t="str">
        <f t="shared" si="0"/>
        <v/>
      </c>
      <c r="J79" s="77" t="str">
        <f>IF(H79="","",Fuel!H79*VLOOKUP(F79,'Factors and Tables'!$A$112:$B$117,2,FALSE))</f>
        <v/>
      </c>
      <c r="K79" s="46" t="str">
        <f>IF(OR(F79="",H79=""),"",J79*VLOOKUP(F79,'Factors and Tables'!$A$112:$C$117,3,FALSE))</f>
        <v/>
      </c>
    </row>
    <row r="80" spans="4:12" x14ac:dyDescent="0.25">
      <c r="D80" s="69"/>
      <c r="E80" s="69"/>
      <c r="F80" s="69" t="s">
        <v>332</v>
      </c>
      <c r="G80" s="69"/>
      <c r="H80" s="10"/>
      <c r="I80" s="25" t="str">
        <f t="shared" si="0"/>
        <v/>
      </c>
      <c r="J80" s="77" t="str">
        <f>IF(H80="","",Fuel!H80*VLOOKUP(F80,'Factors and Tables'!$A$112:$B$117,2,FALSE))</f>
        <v/>
      </c>
      <c r="K80" s="46" t="str">
        <f>IF(OR(F80="",H80=""),"",J80*VLOOKUP(F80,'Factors and Tables'!$A$112:$C$117,3,FALSE))</f>
        <v/>
      </c>
    </row>
    <row r="81" spans="4:11" x14ac:dyDescent="0.25">
      <c r="D81" s="69"/>
      <c r="E81" s="69"/>
      <c r="F81" s="69" t="s">
        <v>332</v>
      </c>
      <c r="G81" s="69"/>
      <c r="H81" s="10"/>
      <c r="I81" s="25" t="str">
        <f t="shared" si="0"/>
        <v/>
      </c>
      <c r="J81" s="77" t="str">
        <f>IF(H81="","",Fuel!H81*VLOOKUP(F81,'Factors and Tables'!$A$112:$B$117,2,FALSE))</f>
        <v/>
      </c>
      <c r="K81" s="46" t="str">
        <f>IF(OR(F81="",H81=""),"",J81*VLOOKUP(F81,'Factors and Tables'!$A$112:$C$117,3,FALSE))</f>
        <v/>
      </c>
    </row>
    <row r="82" spans="4:11" x14ac:dyDescent="0.25">
      <c r="D82" s="69"/>
      <c r="E82" s="69"/>
      <c r="F82" s="69" t="s">
        <v>332</v>
      </c>
      <c r="G82" s="69"/>
      <c r="H82" s="10"/>
      <c r="I82" s="25" t="str">
        <f t="shared" si="0"/>
        <v/>
      </c>
      <c r="J82" s="77" t="str">
        <f>IF(H82="","",Fuel!H82*VLOOKUP(F82,'Factors and Tables'!$A$112:$B$117,2,FALSE))</f>
        <v/>
      </c>
      <c r="K82" s="46" t="str">
        <f>IF(OR(F82="",H82=""),"",J82*VLOOKUP(F82,'Factors and Tables'!$A$112:$C$117,3,FALSE))</f>
        <v/>
      </c>
    </row>
    <row r="83" spans="4:11" x14ac:dyDescent="0.25">
      <c r="D83" s="69"/>
      <c r="E83" s="69"/>
      <c r="F83" s="69" t="s">
        <v>332</v>
      </c>
      <c r="G83" s="69"/>
      <c r="H83" s="10"/>
      <c r="I83" s="25" t="str">
        <f t="shared" si="0"/>
        <v/>
      </c>
      <c r="J83" s="77" t="str">
        <f>IF(H83="","",Fuel!H83*VLOOKUP(F83,'Factors and Tables'!$A$112:$B$117,2,FALSE))</f>
        <v/>
      </c>
      <c r="K83" s="46" t="str">
        <f>IF(OR(F83="",H83=""),"",J83*VLOOKUP(F83,'Factors and Tables'!$A$112:$C$117,3,FALSE))</f>
        <v/>
      </c>
    </row>
    <row r="84" spans="4:11" x14ac:dyDescent="0.25">
      <c r="D84" s="69"/>
      <c r="E84" s="69"/>
      <c r="F84" s="69" t="s">
        <v>332</v>
      </c>
      <c r="G84" s="69"/>
      <c r="H84" s="10"/>
      <c r="I84" s="25" t="str">
        <f t="shared" si="0"/>
        <v/>
      </c>
      <c r="J84" s="77" t="str">
        <f>IF(H84="","",Fuel!H84*VLOOKUP(F84,'Factors and Tables'!$A$112:$B$117,2,FALSE))</f>
        <v/>
      </c>
      <c r="K84" s="46" t="str">
        <f>IF(OR(F84="",H84=""),"",J84*VLOOKUP(F84,'Factors and Tables'!$A$112:$C$117,3,FALSE))</f>
        <v/>
      </c>
    </row>
    <row r="85" spans="4:11" x14ac:dyDescent="0.25">
      <c r="D85" s="69"/>
      <c r="E85" s="69"/>
      <c r="F85" s="69" t="s">
        <v>332</v>
      </c>
      <c r="G85" s="69"/>
      <c r="H85" s="10"/>
      <c r="I85" s="25" t="str">
        <f t="shared" si="0"/>
        <v/>
      </c>
      <c r="J85" s="77" t="str">
        <f>IF(H85="","",Fuel!H85*VLOOKUP(F85,'Factors and Tables'!$A$112:$B$117,2,FALSE))</f>
        <v/>
      </c>
      <c r="K85" s="46" t="str">
        <f>IF(OR(F85="",H85=""),"",J85*VLOOKUP(F85,'Factors and Tables'!$A$112:$C$117,3,FALSE))</f>
        <v/>
      </c>
    </row>
    <row r="86" spans="4:11" x14ac:dyDescent="0.25">
      <c r="D86" s="69"/>
      <c r="E86" s="69"/>
      <c r="F86" s="69" t="s">
        <v>332</v>
      </c>
      <c r="G86" s="69"/>
      <c r="H86" s="10"/>
      <c r="I86" s="25" t="str">
        <f t="shared" si="0"/>
        <v/>
      </c>
      <c r="J86" s="77" t="str">
        <f>IF(H86="","",Fuel!H86*VLOOKUP(F86,'Factors and Tables'!$A$112:$B$117,2,FALSE))</f>
        <v/>
      </c>
      <c r="K86" s="46" t="str">
        <f>IF(OR(F86="",H86=""),"",J86*VLOOKUP(F86,'Factors and Tables'!$A$112:$C$117,3,FALSE))</f>
        <v/>
      </c>
    </row>
    <row r="87" spans="4:11" x14ac:dyDescent="0.25">
      <c r="D87" s="69"/>
      <c r="E87" s="69"/>
      <c r="F87" s="69" t="s">
        <v>332</v>
      </c>
      <c r="G87" s="69"/>
      <c r="H87" s="10"/>
      <c r="I87" s="25" t="str">
        <f t="shared" si="0"/>
        <v/>
      </c>
      <c r="J87" s="77" t="str">
        <f>IF(H87="","",Fuel!H87*VLOOKUP(F87,'Factors and Tables'!$A$112:$B$117,2,FALSE))</f>
        <v/>
      </c>
      <c r="K87" s="46" t="str">
        <f>IF(OR(F87="",H87=""),"",J87*VLOOKUP(F87,'Factors and Tables'!$A$112:$C$117,3,FALSE))</f>
        <v/>
      </c>
    </row>
    <row r="88" spans="4:11" x14ac:dyDescent="0.25">
      <c r="D88" s="69"/>
      <c r="E88" s="69"/>
      <c r="F88" s="69" t="s">
        <v>332</v>
      </c>
      <c r="G88" s="69"/>
      <c r="H88" s="10"/>
      <c r="I88" s="25" t="str">
        <f t="shared" si="0"/>
        <v/>
      </c>
      <c r="J88" s="77" t="str">
        <f>IF(H88="","",Fuel!H88*VLOOKUP(F88,'Factors and Tables'!$A$112:$B$117,2,FALSE))</f>
        <v/>
      </c>
      <c r="K88" s="46" t="str">
        <f>IF(OR(F88="",H88=""),"",J88*VLOOKUP(F88,'Factors and Tables'!$A$112:$C$117,3,FALSE))</f>
        <v/>
      </c>
    </row>
    <row r="89" spans="4:11" x14ac:dyDescent="0.25">
      <c r="D89" s="69"/>
      <c r="E89" s="69"/>
      <c r="F89" s="69" t="s">
        <v>332</v>
      </c>
      <c r="G89" s="69"/>
      <c r="H89" s="10"/>
      <c r="I89" s="25" t="str">
        <f t="shared" si="0"/>
        <v/>
      </c>
      <c r="J89" s="77" t="str">
        <f>IF(H89="","",Fuel!H89*VLOOKUP(F89,'Factors and Tables'!$A$112:$B$117,2,FALSE))</f>
        <v/>
      </c>
      <c r="K89" s="46" t="str">
        <f>IF(OR(F89="",H89=""),"",J89*VLOOKUP(F89,'Factors and Tables'!$A$112:$C$117,3,FALSE))</f>
        <v/>
      </c>
    </row>
    <row r="90" spans="4:11" x14ac:dyDescent="0.25">
      <c r="D90" s="69"/>
      <c r="E90" s="69"/>
      <c r="F90" s="69" t="s">
        <v>332</v>
      </c>
      <c r="G90" s="69"/>
      <c r="H90" s="10"/>
      <c r="I90" s="25" t="str">
        <f t="shared" si="0"/>
        <v/>
      </c>
      <c r="J90" s="77" t="str">
        <f>IF(H90="","",Fuel!H90*VLOOKUP(F90,'Factors and Tables'!$A$112:$B$117,2,FALSE))</f>
        <v/>
      </c>
      <c r="K90" s="46" t="str">
        <f>IF(OR(F90="",H90=""),"",J90*VLOOKUP(F90,'Factors and Tables'!$A$112:$C$117,3,FALSE))</f>
        <v/>
      </c>
    </row>
    <row r="91" spans="4:11" x14ac:dyDescent="0.25">
      <c r="D91" s="69"/>
      <c r="E91" s="69"/>
      <c r="F91" s="69" t="s">
        <v>332</v>
      </c>
      <c r="G91" s="69"/>
      <c r="H91" s="10"/>
      <c r="I91" s="25" t="str">
        <f t="shared" si="0"/>
        <v/>
      </c>
      <c r="J91" s="77" t="str">
        <f>IF(H91="","",Fuel!H91*VLOOKUP(F91,'Factors and Tables'!$A$112:$B$117,2,FALSE))</f>
        <v/>
      </c>
      <c r="K91" s="46" t="str">
        <f>IF(OR(F91="",H91=""),"",J91*VLOOKUP(F91,'Factors and Tables'!$A$112:$C$117,3,FALSE))</f>
        <v/>
      </c>
    </row>
    <row r="92" spans="4:11" x14ac:dyDescent="0.25">
      <c r="D92" s="69"/>
      <c r="E92" s="69"/>
      <c r="F92" s="69" t="s">
        <v>332</v>
      </c>
      <c r="G92" s="69"/>
      <c r="H92" s="10"/>
      <c r="I92" s="25" t="str">
        <f t="shared" si="0"/>
        <v/>
      </c>
      <c r="J92" s="77" t="str">
        <f>IF(H92="","",Fuel!H92*VLOOKUP(F92,'Factors and Tables'!$A$112:$B$117,2,FALSE))</f>
        <v/>
      </c>
      <c r="K92" s="46" t="str">
        <f>IF(OR(F92="",H92=""),"",J92*VLOOKUP(F92,'Factors and Tables'!$A$112:$C$117,3,FALSE))</f>
        <v/>
      </c>
    </row>
    <row r="93" spans="4:11" x14ac:dyDescent="0.25">
      <c r="D93" s="69"/>
      <c r="E93" s="69"/>
      <c r="F93" s="69" t="s">
        <v>332</v>
      </c>
      <c r="G93" s="69"/>
      <c r="H93" s="10"/>
      <c r="I93" s="25" t="str">
        <f t="shared" si="0"/>
        <v/>
      </c>
      <c r="J93" s="77" t="str">
        <f>IF(H93="","",Fuel!H93*VLOOKUP(F93,'Factors and Tables'!$A$112:$B$117,2,FALSE))</f>
        <v/>
      </c>
      <c r="K93" s="46" t="str">
        <f>IF(OR(F93="",H93=""),"",J93*VLOOKUP(F93,'Factors and Tables'!$A$112:$C$117,3,FALSE))</f>
        <v/>
      </c>
    </row>
    <row r="94" spans="4:11" x14ac:dyDescent="0.25">
      <c r="D94" s="69"/>
      <c r="E94" s="69"/>
      <c r="F94" s="69" t="s">
        <v>332</v>
      </c>
      <c r="G94" s="69"/>
      <c r="H94" s="10"/>
      <c r="I94" s="25" t="str">
        <f t="shared" si="0"/>
        <v/>
      </c>
      <c r="J94" s="77" t="str">
        <f>IF(H94="","",Fuel!H94*VLOOKUP(F94,'Factors and Tables'!$A$112:$B$117,2,FALSE))</f>
        <v/>
      </c>
      <c r="K94" s="46" t="str">
        <f>IF(OR(F94="",H94=""),"",J94*VLOOKUP(F94,'Factors and Tables'!$A$112:$C$117,3,FALSE))</f>
        <v/>
      </c>
    </row>
    <row r="95" spans="4:11" x14ac:dyDescent="0.25">
      <c r="D95" s="69"/>
      <c r="E95" s="69"/>
      <c r="F95" s="69" t="s">
        <v>332</v>
      </c>
      <c r="G95" s="69"/>
      <c r="H95" s="10"/>
      <c r="I95" s="25" t="str">
        <f t="shared" si="0"/>
        <v/>
      </c>
      <c r="J95" s="77" t="str">
        <f>IF(H95="","",Fuel!H95*VLOOKUP(F95,'Factors and Tables'!$A$112:$B$117,2,FALSE))</f>
        <v/>
      </c>
      <c r="K95" s="46" t="str">
        <f>IF(OR(F95="",H95=""),"",J95*VLOOKUP(F95,'Factors and Tables'!$A$112:$C$117,3,FALSE))</f>
        <v/>
      </c>
    </row>
    <row r="96" spans="4:11" x14ac:dyDescent="0.25">
      <c r="D96" s="69"/>
      <c r="E96" s="69"/>
      <c r="F96" s="69" t="s">
        <v>332</v>
      </c>
      <c r="G96" s="69"/>
      <c r="H96" s="10"/>
      <c r="I96" s="25" t="str">
        <f t="shared" si="0"/>
        <v/>
      </c>
      <c r="J96" s="77" t="str">
        <f>IF(H96="","",Fuel!H96*VLOOKUP(F96,'Factors and Tables'!$A$112:$B$117,2,FALSE))</f>
        <v/>
      </c>
      <c r="K96" s="46" t="str">
        <f>IF(OR(F96="",H96=""),"",J96*VLOOKUP(F96,'Factors and Tables'!$A$112:$C$117,3,FALSE))</f>
        <v/>
      </c>
    </row>
    <row r="97" spans="4:11" x14ac:dyDescent="0.25">
      <c r="D97" s="69"/>
      <c r="E97" s="69"/>
      <c r="F97" s="69" t="s">
        <v>332</v>
      </c>
      <c r="G97" s="69"/>
      <c r="H97" s="10"/>
      <c r="I97" s="25" t="str">
        <f t="shared" si="0"/>
        <v/>
      </c>
      <c r="J97" s="77" t="str">
        <f>IF(H97="","",Fuel!H97*VLOOKUP(F97,'Factors and Tables'!$A$112:$B$117,2,FALSE))</f>
        <v/>
      </c>
      <c r="K97" s="46" t="str">
        <f>IF(OR(F97="",H97=""),"",J97*VLOOKUP(F97,'Factors and Tables'!$A$112:$C$117,3,FALSE))</f>
        <v/>
      </c>
    </row>
    <row r="98" spans="4:11" x14ac:dyDescent="0.25">
      <c r="D98" s="69"/>
      <c r="E98" s="69"/>
      <c r="F98" s="69" t="s">
        <v>332</v>
      </c>
      <c r="G98" s="69"/>
      <c r="H98" s="10"/>
      <c r="I98" s="25" t="str">
        <f t="shared" si="0"/>
        <v/>
      </c>
      <c r="J98" s="77" t="str">
        <f>IF(H98="","",Fuel!H98*VLOOKUP(F98,'Factors and Tables'!$A$112:$B$117,2,FALSE))</f>
        <v/>
      </c>
      <c r="K98" s="46" t="str">
        <f>IF(OR(F98="",H98=""),"",J98*VLOOKUP(F98,'Factors and Tables'!$A$112:$C$117,3,FALSE))</f>
        <v/>
      </c>
    </row>
    <row r="99" spans="4:11" x14ac:dyDescent="0.25">
      <c r="D99" s="69"/>
      <c r="E99" s="69"/>
      <c r="F99" s="69" t="s">
        <v>332</v>
      </c>
      <c r="G99" s="69"/>
      <c r="H99" s="10"/>
      <c r="I99" s="25" t="str">
        <f t="shared" si="0"/>
        <v/>
      </c>
      <c r="J99" s="77" t="str">
        <f>IF(H99="","",Fuel!H99*VLOOKUP(F99,'Factors and Tables'!$A$112:$B$117,2,FALSE))</f>
        <v/>
      </c>
      <c r="K99" s="46" t="str">
        <f>IF(OR(F99="",H99=""),"",J99*VLOOKUP(F99,'Factors and Tables'!$A$112:$C$117,3,FALSE))</f>
        <v/>
      </c>
    </row>
    <row r="100" spans="4:11" x14ac:dyDescent="0.25">
      <c r="D100" s="69"/>
      <c r="E100" s="69"/>
      <c r="F100" s="69" t="s">
        <v>332</v>
      </c>
      <c r="G100" s="69"/>
      <c r="H100" s="10"/>
      <c r="I100" s="25" t="str">
        <f t="shared" si="0"/>
        <v/>
      </c>
      <c r="J100" s="77" t="str">
        <f>IF(H100="","",Fuel!H100*VLOOKUP(F100,'Factors and Tables'!$A$112:$B$117,2,FALSE))</f>
        <v/>
      </c>
      <c r="K100" s="46" t="str">
        <f>IF(OR(F100="",H100=""),"",J100*VLOOKUP(F100,'Factors and Tables'!$A$112:$C$117,3,FALSE))</f>
        <v/>
      </c>
    </row>
    <row r="101" spans="4:11" x14ac:dyDescent="0.25">
      <c r="D101" s="69"/>
      <c r="E101" s="69"/>
      <c r="F101" s="69" t="s">
        <v>332</v>
      </c>
      <c r="G101" s="69"/>
      <c r="H101" s="10"/>
      <c r="I101" s="25" t="str">
        <f t="shared" si="0"/>
        <v/>
      </c>
      <c r="J101" s="77" t="str">
        <f>IF(H101="","",Fuel!H101*VLOOKUP(F101,'Factors and Tables'!$A$112:$B$117,2,FALSE))</f>
        <v/>
      </c>
      <c r="K101" s="46" t="str">
        <f>IF(OR(F101="",H101=""),"",J101*VLOOKUP(F101,'Factors and Tables'!$A$112:$C$117,3,FALSE))</f>
        <v/>
      </c>
    </row>
    <row r="102" spans="4:11" x14ac:dyDescent="0.25">
      <c r="D102" s="69"/>
      <c r="E102" s="69"/>
      <c r="F102" s="69" t="s">
        <v>332</v>
      </c>
      <c r="G102" s="69"/>
      <c r="H102" s="10"/>
      <c r="I102" s="25" t="str">
        <f t="shared" si="0"/>
        <v/>
      </c>
      <c r="J102" s="77" t="str">
        <f>IF(H102="","",Fuel!H102*VLOOKUP(F102,'Factors and Tables'!$A$112:$B$117,2,FALSE))</f>
        <v/>
      </c>
      <c r="K102" s="46" t="str">
        <f>IF(OR(F102="",H102=""),"",J102*VLOOKUP(F102,'Factors and Tables'!$A$112:$C$117,3,FALSE))</f>
        <v/>
      </c>
    </row>
    <row r="103" spans="4:11" x14ac:dyDescent="0.25">
      <c r="D103" s="69"/>
      <c r="E103" s="69"/>
      <c r="F103" s="69" t="s">
        <v>332</v>
      </c>
      <c r="G103" s="69"/>
      <c r="H103" s="10"/>
      <c r="I103" s="25" t="str">
        <f t="shared" si="0"/>
        <v/>
      </c>
      <c r="J103" s="77" t="str">
        <f>IF(H103="","",Fuel!H103*VLOOKUP(F103,'Factors and Tables'!$A$112:$B$117,2,FALSE))</f>
        <v/>
      </c>
      <c r="K103" s="46" t="str">
        <f>IF(OR(F103="",H103=""),"",J103*VLOOKUP(F103,'Factors and Tables'!$A$112:$C$117,3,FALSE))</f>
        <v/>
      </c>
    </row>
    <row r="104" spans="4:11" x14ac:dyDescent="0.25">
      <c r="D104" s="69"/>
      <c r="E104" s="69"/>
      <c r="F104" s="69" t="s">
        <v>332</v>
      </c>
      <c r="G104" s="69"/>
      <c r="H104" s="10"/>
      <c r="I104" s="25" t="str">
        <f t="shared" si="0"/>
        <v/>
      </c>
      <c r="J104" s="77" t="str">
        <f>IF(H104="","",Fuel!H104*VLOOKUP(F104,'Factors and Tables'!$A$112:$B$117,2,FALSE))</f>
        <v/>
      </c>
      <c r="K104" s="46" t="str">
        <f>IF(OR(F104="",H104=""),"",J104*VLOOKUP(F104,'Factors and Tables'!$A$112:$C$117,3,FALSE))</f>
        <v/>
      </c>
    </row>
    <row r="105" spans="4:11" x14ac:dyDescent="0.25">
      <c r="D105" s="69"/>
      <c r="E105" s="69"/>
      <c r="F105" s="69" t="s">
        <v>332</v>
      </c>
      <c r="G105" s="69"/>
      <c r="H105" s="10"/>
      <c r="I105" s="25" t="str">
        <f t="shared" si="0"/>
        <v/>
      </c>
      <c r="J105" s="77" t="str">
        <f>IF(H105="","",Fuel!H105*VLOOKUP(F105,'Factors and Tables'!$A$112:$B$117,2,FALSE))</f>
        <v/>
      </c>
      <c r="K105" s="46" t="str">
        <f>IF(OR(F105="",H105=""),"",J105*VLOOKUP(F105,'Factors and Tables'!$A$112:$C$117,3,FALSE))</f>
        <v/>
      </c>
    </row>
    <row r="106" spans="4:11" x14ac:dyDescent="0.25">
      <c r="D106" s="69"/>
      <c r="E106" s="69"/>
      <c r="F106" s="69" t="s">
        <v>332</v>
      </c>
      <c r="G106" s="69"/>
      <c r="H106" s="10"/>
      <c r="I106" s="25" t="str">
        <f t="shared" si="0"/>
        <v/>
      </c>
      <c r="J106" s="77" t="str">
        <f>IF(H106="","",Fuel!H106*VLOOKUP(F106,'Factors and Tables'!$A$112:$B$117,2,FALSE))</f>
        <v/>
      </c>
      <c r="K106" s="46" t="str">
        <f>IF(OR(F106="",H106=""),"",J106*VLOOKUP(F106,'Factors and Tables'!$A$112:$C$117,3,FALSE))</f>
        <v/>
      </c>
    </row>
    <row r="107" spans="4:11" x14ac:dyDescent="0.25">
      <c r="D107" s="69"/>
      <c r="E107" s="69"/>
      <c r="F107" s="69" t="s">
        <v>332</v>
      </c>
      <c r="G107" s="69"/>
      <c r="H107" s="10"/>
      <c r="I107" s="25" t="str">
        <f t="shared" si="0"/>
        <v/>
      </c>
      <c r="J107" s="77" t="str">
        <f>IF(H107="","",Fuel!H107*VLOOKUP(F107,'Factors and Tables'!$A$112:$B$117,2,FALSE))</f>
        <v/>
      </c>
      <c r="K107" s="46" t="str">
        <f>IF(OR(F107="",H107=""),"",J107*VLOOKUP(F107,'Factors and Tables'!$A$112:$C$117,3,FALSE))</f>
        <v/>
      </c>
    </row>
    <row r="108" spans="4:11" x14ac:dyDescent="0.25">
      <c r="D108" s="69"/>
      <c r="E108" s="69"/>
      <c r="F108" s="69" t="s">
        <v>332</v>
      </c>
      <c r="G108" s="69"/>
      <c r="H108" s="10"/>
      <c r="I108" s="25" t="str">
        <f t="shared" si="0"/>
        <v/>
      </c>
      <c r="J108" s="77" t="str">
        <f>IF(H108="","",Fuel!H108*VLOOKUP(F108,'Factors and Tables'!$A$112:$B$117,2,FALSE))</f>
        <v/>
      </c>
      <c r="K108" s="46" t="str">
        <f>IF(OR(F108="",H108=""),"",J108*VLOOKUP(F108,'Factors and Tables'!$A$112:$C$117,3,FALSE))</f>
        <v/>
      </c>
    </row>
    <row r="109" spans="4:11" x14ac:dyDescent="0.25">
      <c r="D109" s="69"/>
      <c r="E109" s="69"/>
      <c r="F109" s="69"/>
      <c r="G109" s="69"/>
      <c r="H109" s="10"/>
      <c r="I109" s="25" t="str">
        <f t="shared" ref="I109:I172" si="1">IF(OR(F109="Diesel",F109="Petrol",F109="E10",F109="LPG"),"litres",IF(F109="CNG","GJ",IF(F109="Electricity","kWh","")))</f>
        <v/>
      </c>
      <c r="J109" s="77" t="str">
        <f>IF(H109="","",Fuel!H109*VLOOKUP(F109,'Factors and Tables'!$A$112:$B$117,2,FALSE))</f>
        <v/>
      </c>
      <c r="K109" s="46" t="str">
        <f>IF(OR(F109="",H109=""),"",J109*VLOOKUP(F109,'Factors and Tables'!$A$112:$C$117,3,FALSE))</f>
        <v/>
      </c>
    </row>
    <row r="110" spans="4:11" x14ac:dyDescent="0.25">
      <c r="D110" s="69"/>
      <c r="E110" s="69"/>
      <c r="F110" s="69"/>
      <c r="G110" s="69"/>
      <c r="H110" s="10"/>
      <c r="I110" s="25" t="str">
        <f t="shared" si="1"/>
        <v/>
      </c>
      <c r="J110" s="77" t="str">
        <f>IF(H110="","",Fuel!H110*VLOOKUP(F110,'Factors and Tables'!$A$112:$B$117,2,FALSE))</f>
        <v/>
      </c>
      <c r="K110" s="46" t="str">
        <f>IF(OR(F110="",H110=""),"",J110*VLOOKUP(F110,'Factors and Tables'!$A$112:$C$117,3,FALSE))</f>
        <v/>
      </c>
    </row>
    <row r="111" spans="4:11" x14ac:dyDescent="0.25">
      <c r="D111" s="69"/>
      <c r="E111" s="69"/>
      <c r="F111" s="69"/>
      <c r="G111" s="69"/>
      <c r="H111" s="10"/>
      <c r="I111" s="25" t="str">
        <f t="shared" si="1"/>
        <v/>
      </c>
      <c r="J111" s="77" t="str">
        <f>IF(H111="","",Fuel!H111*VLOOKUP(F111,'Factors and Tables'!$A$112:$B$117,2,FALSE))</f>
        <v/>
      </c>
      <c r="K111" s="46" t="str">
        <f>IF(OR(F111="",H111=""),"",J111*VLOOKUP(F111,'Factors and Tables'!$A$112:$C$117,3,FALSE))</f>
        <v/>
      </c>
    </row>
    <row r="112" spans="4:11" x14ac:dyDescent="0.25">
      <c r="D112" s="69"/>
      <c r="E112" s="69"/>
      <c r="F112" s="69"/>
      <c r="G112" s="69"/>
      <c r="H112" s="10"/>
      <c r="I112" s="25" t="str">
        <f t="shared" si="1"/>
        <v/>
      </c>
      <c r="J112" s="77" t="str">
        <f>IF(H112="","",Fuel!H112*VLOOKUP(F112,'Factors and Tables'!$A$112:$B$117,2,FALSE))</f>
        <v/>
      </c>
      <c r="K112" s="46" t="str">
        <f>IF(OR(F112="",H112=""),"",J112*VLOOKUP(F112,'Factors and Tables'!$A$112:$C$117,3,FALSE))</f>
        <v/>
      </c>
    </row>
    <row r="113" spans="4:11" x14ac:dyDescent="0.25">
      <c r="D113" s="69"/>
      <c r="E113" s="69"/>
      <c r="F113" s="69"/>
      <c r="G113" s="69"/>
      <c r="H113" s="10"/>
      <c r="I113" s="25" t="str">
        <f t="shared" si="1"/>
        <v/>
      </c>
      <c r="J113" s="77" t="str">
        <f>IF(H113="","",Fuel!H113*VLOOKUP(F113,'Factors and Tables'!$A$112:$B$117,2,FALSE))</f>
        <v/>
      </c>
      <c r="K113" s="46" t="str">
        <f>IF(OR(F113="",H113=""),"",J113*VLOOKUP(F113,'Factors and Tables'!$A$112:$C$117,3,FALSE))</f>
        <v/>
      </c>
    </row>
    <row r="114" spans="4:11" x14ac:dyDescent="0.25">
      <c r="D114" s="69"/>
      <c r="E114" s="69"/>
      <c r="F114" s="69"/>
      <c r="G114" s="69"/>
      <c r="H114" s="10"/>
      <c r="I114" s="25" t="str">
        <f t="shared" si="1"/>
        <v/>
      </c>
      <c r="J114" s="77" t="str">
        <f>IF(H114="","",Fuel!H114*VLOOKUP(F114,'Factors and Tables'!$A$112:$B$117,2,FALSE))</f>
        <v/>
      </c>
      <c r="K114" s="46" t="str">
        <f>IF(OR(F114="",H114=""),"",J114*VLOOKUP(F114,'Factors and Tables'!$A$112:$C$117,3,FALSE))</f>
        <v/>
      </c>
    </row>
    <row r="115" spans="4:11" x14ac:dyDescent="0.25">
      <c r="D115" s="69"/>
      <c r="E115" s="69"/>
      <c r="F115" s="69"/>
      <c r="G115" s="69"/>
      <c r="H115" s="10"/>
      <c r="I115" s="25" t="str">
        <f t="shared" si="1"/>
        <v/>
      </c>
      <c r="J115" s="77" t="str">
        <f>IF(H115="","",Fuel!H115*VLOOKUP(F115,'Factors and Tables'!$A$112:$B$117,2,FALSE))</f>
        <v/>
      </c>
      <c r="K115" s="46" t="str">
        <f>IF(OR(F115="",H115=""),"",J115*VLOOKUP(F115,'Factors and Tables'!$A$112:$C$117,3,FALSE))</f>
        <v/>
      </c>
    </row>
    <row r="116" spans="4:11" x14ac:dyDescent="0.25">
      <c r="D116" s="69"/>
      <c r="E116" s="69"/>
      <c r="F116" s="69"/>
      <c r="G116" s="69"/>
      <c r="H116" s="10"/>
      <c r="I116" s="25" t="str">
        <f t="shared" si="1"/>
        <v/>
      </c>
      <c r="J116" s="77" t="str">
        <f>IF(H116="","",Fuel!H116*VLOOKUP(F116,'Factors and Tables'!$A$112:$B$117,2,FALSE))</f>
        <v/>
      </c>
      <c r="K116" s="46" t="str">
        <f>IF(OR(F116="",H116=""),"",J116*VLOOKUP(F116,'Factors and Tables'!$A$112:$C$117,3,FALSE))</f>
        <v/>
      </c>
    </row>
    <row r="117" spans="4:11" x14ac:dyDescent="0.25">
      <c r="D117" s="69"/>
      <c r="E117" s="69"/>
      <c r="F117" s="69"/>
      <c r="G117" s="69"/>
      <c r="H117" s="10"/>
      <c r="I117" s="25" t="str">
        <f t="shared" si="1"/>
        <v/>
      </c>
      <c r="J117" s="77" t="str">
        <f>IF(H117="","",Fuel!H117*VLOOKUP(F117,'Factors and Tables'!$A$112:$B$117,2,FALSE))</f>
        <v/>
      </c>
      <c r="K117" s="46" t="str">
        <f>IF(OR(F117="",H117=""),"",J117*VLOOKUP(F117,'Factors and Tables'!$A$112:$C$117,3,FALSE))</f>
        <v/>
      </c>
    </row>
    <row r="118" spans="4:11" x14ac:dyDescent="0.25">
      <c r="D118" s="69"/>
      <c r="E118" s="69"/>
      <c r="F118" s="69"/>
      <c r="G118" s="69"/>
      <c r="H118" s="10"/>
      <c r="I118" s="25" t="str">
        <f t="shared" si="1"/>
        <v/>
      </c>
      <c r="J118" s="77" t="str">
        <f>IF(H118="","",Fuel!H118*VLOOKUP(F118,'Factors and Tables'!$A$112:$B$117,2,FALSE))</f>
        <v/>
      </c>
      <c r="K118" s="46" t="str">
        <f>IF(OR(F118="",H118=""),"",J118*VLOOKUP(F118,'Factors and Tables'!$A$112:$C$117,3,FALSE))</f>
        <v/>
      </c>
    </row>
    <row r="119" spans="4:11" x14ac:dyDescent="0.25">
      <c r="D119" s="69"/>
      <c r="E119" s="69"/>
      <c r="F119" s="69"/>
      <c r="G119" s="69"/>
      <c r="H119" s="10"/>
      <c r="I119" s="25" t="str">
        <f t="shared" si="1"/>
        <v/>
      </c>
      <c r="J119" s="77" t="str">
        <f>IF(H119="","",Fuel!H119*VLOOKUP(F119,'Factors and Tables'!$A$112:$B$117,2,FALSE))</f>
        <v/>
      </c>
      <c r="K119" s="46" t="str">
        <f>IF(OR(F119="",H119=""),"",J119*VLOOKUP(F119,'Factors and Tables'!$A$112:$C$117,3,FALSE))</f>
        <v/>
      </c>
    </row>
    <row r="120" spans="4:11" x14ac:dyDescent="0.25">
      <c r="D120" s="69"/>
      <c r="E120" s="69"/>
      <c r="F120" s="69"/>
      <c r="G120" s="69"/>
      <c r="H120" s="10"/>
      <c r="I120" s="25" t="str">
        <f t="shared" si="1"/>
        <v/>
      </c>
      <c r="J120" s="77" t="str">
        <f>IF(H120="","",Fuel!H120*VLOOKUP(F120,'Factors and Tables'!$A$112:$B$117,2,FALSE))</f>
        <v/>
      </c>
      <c r="K120" s="46" t="str">
        <f>IF(OR(F120="",H120=""),"",J120*VLOOKUP(F120,'Factors and Tables'!$A$112:$C$117,3,FALSE))</f>
        <v/>
      </c>
    </row>
    <row r="121" spans="4:11" x14ac:dyDescent="0.25">
      <c r="D121" s="69"/>
      <c r="E121" s="69"/>
      <c r="F121" s="69"/>
      <c r="G121" s="69"/>
      <c r="H121" s="10"/>
      <c r="I121" s="25" t="str">
        <f t="shared" si="1"/>
        <v/>
      </c>
      <c r="J121" s="77" t="str">
        <f>IF(H121="","",Fuel!H121*VLOOKUP(F121,'Factors and Tables'!$A$112:$B$117,2,FALSE))</f>
        <v/>
      </c>
      <c r="K121" s="46" t="str">
        <f>IF(OR(F121="",H121=""),"",J121*VLOOKUP(F121,'Factors and Tables'!$A$112:$C$117,3,FALSE))</f>
        <v/>
      </c>
    </row>
    <row r="122" spans="4:11" x14ac:dyDescent="0.25">
      <c r="D122" s="69"/>
      <c r="E122" s="69"/>
      <c r="F122" s="69"/>
      <c r="G122" s="69"/>
      <c r="H122" s="10"/>
      <c r="I122" s="25" t="str">
        <f t="shared" si="1"/>
        <v/>
      </c>
      <c r="J122" s="77" t="str">
        <f>IF(H122="","",Fuel!H122*VLOOKUP(F122,'Factors and Tables'!$A$112:$B$117,2,FALSE))</f>
        <v/>
      </c>
      <c r="K122" s="46" t="str">
        <f>IF(OR(F122="",H122=""),"",J122*VLOOKUP(F122,'Factors and Tables'!$A$112:$C$117,3,FALSE))</f>
        <v/>
      </c>
    </row>
    <row r="123" spans="4:11" x14ac:dyDescent="0.25">
      <c r="D123" s="69"/>
      <c r="E123" s="69"/>
      <c r="F123" s="69"/>
      <c r="G123" s="69"/>
      <c r="H123" s="10"/>
      <c r="I123" s="25" t="str">
        <f t="shared" si="1"/>
        <v/>
      </c>
      <c r="J123" s="77" t="str">
        <f>IF(H123="","",Fuel!H123*VLOOKUP(F123,'Factors and Tables'!$A$112:$B$117,2,FALSE))</f>
        <v/>
      </c>
      <c r="K123" s="46" t="str">
        <f>IF(OR(F123="",H123=""),"",J123*VLOOKUP(F123,'Factors and Tables'!$A$112:$C$117,3,FALSE))</f>
        <v/>
      </c>
    </row>
    <row r="124" spans="4:11" x14ac:dyDescent="0.25">
      <c r="D124" s="69"/>
      <c r="E124" s="69"/>
      <c r="F124" s="69" t="s">
        <v>332</v>
      </c>
      <c r="G124" s="69"/>
      <c r="H124" s="10"/>
      <c r="I124" s="25" t="str">
        <f t="shared" si="1"/>
        <v/>
      </c>
      <c r="J124" s="77" t="str">
        <f>IF(H124="","",Fuel!H124*VLOOKUP(F124,'Factors and Tables'!$A$112:$B$117,2,FALSE))</f>
        <v/>
      </c>
      <c r="K124" s="46" t="str">
        <f>IF(OR(F124="",H124=""),"",J124*VLOOKUP(F124,'Factors and Tables'!$A$112:$C$117,3,FALSE))</f>
        <v/>
      </c>
    </row>
    <row r="125" spans="4:11" x14ac:dyDescent="0.25">
      <c r="D125" s="69"/>
      <c r="E125" s="69"/>
      <c r="F125" s="69" t="s">
        <v>332</v>
      </c>
      <c r="G125" s="69"/>
      <c r="H125" s="10"/>
      <c r="I125" s="25" t="str">
        <f t="shared" si="1"/>
        <v/>
      </c>
      <c r="J125" s="77" t="str">
        <f>IF(H125="","",Fuel!H125*VLOOKUP(F125,'Factors and Tables'!$A$112:$B$117,2,FALSE))</f>
        <v/>
      </c>
      <c r="K125" s="46" t="str">
        <f>IF(OR(F125="",H125=""),"",J125*VLOOKUP(F125,'Factors and Tables'!$A$112:$C$117,3,FALSE))</f>
        <v/>
      </c>
    </row>
    <row r="126" spans="4:11" x14ac:dyDescent="0.25">
      <c r="D126" s="69"/>
      <c r="E126" s="69"/>
      <c r="F126" s="69" t="s">
        <v>332</v>
      </c>
      <c r="G126" s="69"/>
      <c r="H126" s="10"/>
      <c r="I126" s="25" t="str">
        <f t="shared" si="1"/>
        <v/>
      </c>
      <c r="J126" s="77" t="str">
        <f>IF(H126="","",Fuel!H126*VLOOKUP(F126,'Factors and Tables'!$A$112:$B$117,2,FALSE))</f>
        <v/>
      </c>
      <c r="K126" s="46" t="str">
        <f>IF(OR(F126="",H126=""),"",J126*VLOOKUP(F126,'Factors and Tables'!$A$112:$C$117,3,FALSE))</f>
        <v/>
      </c>
    </row>
    <row r="127" spans="4:11" x14ac:dyDescent="0.25">
      <c r="D127" s="69"/>
      <c r="E127" s="69"/>
      <c r="F127" s="69" t="s">
        <v>332</v>
      </c>
      <c r="G127" s="69"/>
      <c r="H127" s="10"/>
      <c r="I127" s="25" t="str">
        <f t="shared" si="1"/>
        <v/>
      </c>
      <c r="J127" s="77" t="str">
        <f>IF(H127="","",Fuel!H127*VLOOKUP(F127,'Factors and Tables'!$A$112:$B$117,2,FALSE))</f>
        <v/>
      </c>
      <c r="K127" s="46" t="str">
        <f>IF(OR(F127="",H127=""),"",J127*VLOOKUP(F127,'Factors and Tables'!$A$112:$C$117,3,FALSE))</f>
        <v/>
      </c>
    </row>
    <row r="128" spans="4:11" x14ac:dyDescent="0.25">
      <c r="D128" s="69"/>
      <c r="E128" s="69"/>
      <c r="F128" s="69" t="s">
        <v>332</v>
      </c>
      <c r="G128" s="69"/>
      <c r="H128" s="10"/>
      <c r="I128" s="25" t="str">
        <f t="shared" si="1"/>
        <v/>
      </c>
      <c r="J128" s="77" t="str">
        <f>IF(H128="","",Fuel!H128*VLOOKUP(F128,'Factors and Tables'!$A$112:$B$117,2,FALSE))</f>
        <v/>
      </c>
      <c r="K128" s="46" t="str">
        <f>IF(OR(F128="",H128=""),"",J128*VLOOKUP(F128,'Factors and Tables'!$A$112:$C$117,3,FALSE))</f>
        <v/>
      </c>
    </row>
    <row r="129" spans="4:11" x14ac:dyDescent="0.25">
      <c r="D129" s="69"/>
      <c r="E129" s="69"/>
      <c r="F129" s="69" t="s">
        <v>332</v>
      </c>
      <c r="G129" s="69"/>
      <c r="H129" s="10"/>
      <c r="I129" s="25" t="str">
        <f t="shared" si="1"/>
        <v/>
      </c>
      <c r="J129" s="77" t="str">
        <f>IF(H129="","",Fuel!H129*VLOOKUP(F129,'Factors and Tables'!$A$112:$B$117,2,FALSE))</f>
        <v/>
      </c>
      <c r="K129" s="46" t="str">
        <f>IF(OR(F129="",H129=""),"",J129*VLOOKUP(F129,'Factors and Tables'!$A$112:$C$117,3,FALSE))</f>
        <v/>
      </c>
    </row>
    <row r="130" spans="4:11" x14ac:dyDescent="0.25">
      <c r="D130" s="69"/>
      <c r="E130" s="69"/>
      <c r="F130" s="69" t="s">
        <v>332</v>
      </c>
      <c r="G130" s="69"/>
      <c r="H130" s="10"/>
      <c r="I130" s="25" t="str">
        <f t="shared" si="1"/>
        <v/>
      </c>
      <c r="J130" s="77" t="str">
        <f>IF(H130="","",Fuel!H130*VLOOKUP(F130,'Factors and Tables'!$A$112:$B$117,2,FALSE))</f>
        <v/>
      </c>
      <c r="K130" s="46" t="str">
        <f>IF(OR(F130="",H130=""),"",J130*VLOOKUP(F130,'Factors and Tables'!$A$112:$C$117,3,FALSE))</f>
        <v/>
      </c>
    </row>
    <row r="131" spans="4:11" x14ac:dyDescent="0.25">
      <c r="D131" s="69"/>
      <c r="E131" s="69"/>
      <c r="F131" s="69" t="s">
        <v>332</v>
      </c>
      <c r="G131" s="69"/>
      <c r="H131" s="10"/>
      <c r="I131" s="25" t="str">
        <f t="shared" si="1"/>
        <v/>
      </c>
      <c r="J131" s="77" t="str">
        <f>IF(H131="","",Fuel!H131*VLOOKUP(F131,'Factors and Tables'!$A$112:$B$117,2,FALSE))</f>
        <v/>
      </c>
      <c r="K131" s="46" t="str">
        <f>IF(OR(F131="",H131=""),"",J131*VLOOKUP(F131,'Factors and Tables'!$A$112:$C$117,3,FALSE))</f>
        <v/>
      </c>
    </row>
    <row r="132" spans="4:11" x14ac:dyDescent="0.25">
      <c r="D132" s="69"/>
      <c r="E132" s="69"/>
      <c r="F132" s="69" t="s">
        <v>332</v>
      </c>
      <c r="G132" s="69"/>
      <c r="H132" s="10"/>
      <c r="I132" s="25" t="str">
        <f t="shared" si="1"/>
        <v/>
      </c>
      <c r="J132" s="77" t="str">
        <f>IF(H132="","",Fuel!H132*VLOOKUP(F132,'Factors and Tables'!$A$112:$B$117,2,FALSE))</f>
        <v/>
      </c>
      <c r="K132" s="46" t="str">
        <f>IF(OR(F132="",H132=""),"",J132*VLOOKUP(F132,'Factors and Tables'!$A$112:$C$117,3,FALSE))</f>
        <v/>
      </c>
    </row>
    <row r="133" spans="4:11" x14ac:dyDescent="0.25">
      <c r="D133" s="69"/>
      <c r="E133" s="69"/>
      <c r="F133" s="69" t="s">
        <v>332</v>
      </c>
      <c r="G133" s="69"/>
      <c r="H133" s="10"/>
      <c r="I133" s="25" t="str">
        <f t="shared" si="1"/>
        <v/>
      </c>
      <c r="J133" s="77" t="str">
        <f>IF(H133="","",Fuel!H133*VLOOKUP(F133,'Factors and Tables'!$A$112:$B$117,2,FALSE))</f>
        <v/>
      </c>
      <c r="K133" s="46" t="str">
        <f>IF(OR(F133="",H133=""),"",J133*VLOOKUP(F133,'Factors and Tables'!$A$112:$C$117,3,FALSE))</f>
        <v/>
      </c>
    </row>
    <row r="134" spans="4:11" x14ac:dyDescent="0.25">
      <c r="D134" s="69"/>
      <c r="E134" s="69"/>
      <c r="F134" s="69" t="s">
        <v>332</v>
      </c>
      <c r="G134" s="69"/>
      <c r="H134" s="10"/>
      <c r="I134" s="25" t="str">
        <f t="shared" si="1"/>
        <v/>
      </c>
      <c r="J134" s="77" t="str">
        <f>IF(H134="","",Fuel!H134*VLOOKUP(F134,'Factors and Tables'!$A$112:$B$117,2,FALSE))</f>
        <v/>
      </c>
      <c r="K134" s="46" t="str">
        <f>IF(OR(F134="",H134=""),"",J134*VLOOKUP(F134,'Factors and Tables'!$A$112:$C$117,3,FALSE))</f>
        <v/>
      </c>
    </row>
    <row r="135" spans="4:11" x14ac:dyDescent="0.25">
      <c r="D135" s="69"/>
      <c r="E135" s="69"/>
      <c r="F135" s="69" t="s">
        <v>332</v>
      </c>
      <c r="G135" s="69"/>
      <c r="H135" s="10"/>
      <c r="I135" s="25" t="str">
        <f t="shared" si="1"/>
        <v/>
      </c>
      <c r="J135" s="77" t="str">
        <f>IF(H135="","",Fuel!H135*VLOOKUP(F135,'Factors and Tables'!$A$112:$B$117,2,FALSE))</f>
        <v/>
      </c>
      <c r="K135" s="46" t="str">
        <f>IF(OR(F135="",H135=""),"",J135*VLOOKUP(F135,'Factors and Tables'!$A$112:$C$117,3,FALSE))</f>
        <v/>
      </c>
    </row>
    <row r="136" spans="4:11" x14ac:dyDescent="0.25">
      <c r="D136" s="69"/>
      <c r="E136" s="69"/>
      <c r="F136" s="69" t="s">
        <v>332</v>
      </c>
      <c r="G136" s="69"/>
      <c r="H136" s="10"/>
      <c r="I136" s="25" t="str">
        <f t="shared" si="1"/>
        <v/>
      </c>
      <c r="J136" s="77" t="str">
        <f>IF(H136="","",Fuel!H136*VLOOKUP(F136,'Factors and Tables'!$A$112:$B$117,2,FALSE))</f>
        <v/>
      </c>
      <c r="K136" s="46" t="str">
        <f>IF(OR(F136="",H136=""),"",J136*VLOOKUP(F136,'Factors and Tables'!$A$112:$C$117,3,FALSE))</f>
        <v/>
      </c>
    </row>
    <row r="137" spans="4:11" x14ac:dyDescent="0.25">
      <c r="D137" s="69"/>
      <c r="E137" s="69"/>
      <c r="F137" s="69" t="s">
        <v>332</v>
      </c>
      <c r="G137" s="69"/>
      <c r="H137" s="10"/>
      <c r="I137" s="25" t="str">
        <f t="shared" si="1"/>
        <v/>
      </c>
      <c r="J137" s="77" t="str">
        <f>IF(H137="","",Fuel!H137*VLOOKUP(F137,'Factors and Tables'!$A$112:$B$117,2,FALSE))</f>
        <v/>
      </c>
      <c r="K137" s="46" t="str">
        <f>IF(OR(F137="",H137=""),"",J137*VLOOKUP(F137,'Factors and Tables'!$A$112:$C$117,3,FALSE))</f>
        <v/>
      </c>
    </row>
    <row r="138" spans="4:11" x14ac:dyDescent="0.25">
      <c r="D138" s="69"/>
      <c r="E138" s="69"/>
      <c r="F138" s="69" t="s">
        <v>332</v>
      </c>
      <c r="G138" s="69"/>
      <c r="H138" s="10"/>
      <c r="I138" s="25" t="str">
        <f t="shared" si="1"/>
        <v/>
      </c>
      <c r="J138" s="77" t="str">
        <f>IF(H138="","",Fuel!H138*VLOOKUP(F138,'Factors and Tables'!$A$112:$B$117,2,FALSE))</f>
        <v/>
      </c>
      <c r="K138" s="46" t="str">
        <f>IF(OR(F138="",H138=""),"",J138*VLOOKUP(F138,'Factors and Tables'!$A$112:$C$117,3,FALSE))</f>
        <v/>
      </c>
    </row>
    <row r="139" spans="4:11" x14ac:dyDescent="0.25">
      <c r="D139" s="69"/>
      <c r="E139" s="69"/>
      <c r="F139" s="69" t="s">
        <v>332</v>
      </c>
      <c r="G139" s="69"/>
      <c r="H139" s="10"/>
      <c r="I139" s="25" t="str">
        <f t="shared" si="1"/>
        <v/>
      </c>
      <c r="J139" s="77" t="str">
        <f>IF(H139="","",Fuel!H139*VLOOKUP(F139,'Factors and Tables'!$A$112:$B$117,2,FALSE))</f>
        <v/>
      </c>
      <c r="K139" s="46" t="str">
        <f>IF(OR(F139="",H139=""),"",J139*VLOOKUP(F139,'Factors and Tables'!$A$112:$C$117,3,FALSE))</f>
        <v/>
      </c>
    </row>
    <row r="140" spans="4:11" x14ac:dyDescent="0.25">
      <c r="D140" s="69"/>
      <c r="E140" s="69"/>
      <c r="F140" s="69" t="s">
        <v>332</v>
      </c>
      <c r="G140" s="69"/>
      <c r="H140" s="10"/>
      <c r="I140" s="25" t="str">
        <f t="shared" si="1"/>
        <v/>
      </c>
      <c r="J140" s="77" t="str">
        <f>IF(H140="","",Fuel!H140*VLOOKUP(F140,'Factors and Tables'!$A$112:$B$117,2,FALSE))</f>
        <v/>
      </c>
      <c r="K140" s="46" t="str">
        <f>IF(OR(F140="",H140=""),"",J140*VLOOKUP(F140,'Factors and Tables'!$A$112:$C$117,3,FALSE))</f>
        <v/>
      </c>
    </row>
    <row r="141" spans="4:11" x14ac:dyDescent="0.25">
      <c r="D141" s="69"/>
      <c r="E141" s="69"/>
      <c r="F141" s="69" t="s">
        <v>332</v>
      </c>
      <c r="G141" s="69"/>
      <c r="H141" s="10"/>
      <c r="I141" s="25" t="str">
        <f t="shared" si="1"/>
        <v/>
      </c>
      <c r="J141" s="77" t="str">
        <f>IF(H141="","",Fuel!H141*VLOOKUP(F141,'Factors and Tables'!$A$112:$B$117,2,FALSE))</f>
        <v/>
      </c>
      <c r="K141" s="46" t="str">
        <f>IF(OR(F141="",H141=""),"",J141*VLOOKUP(F141,'Factors and Tables'!$A$112:$C$117,3,FALSE))</f>
        <v/>
      </c>
    </row>
    <row r="142" spans="4:11" x14ac:dyDescent="0.25">
      <c r="D142" s="69"/>
      <c r="E142" s="69"/>
      <c r="F142" s="69" t="s">
        <v>332</v>
      </c>
      <c r="G142" s="69"/>
      <c r="H142" s="10"/>
      <c r="I142" s="25" t="str">
        <f t="shared" si="1"/>
        <v/>
      </c>
      <c r="J142" s="77" t="str">
        <f>IF(H142="","",Fuel!H142*VLOOKUP(F142,'Factors and Tables'!$A$112:$B$117,2,FALSE))</f>
        <v/>
      </c>
      <c r="K142" s="46" t="str">
        <f>IF(OR(F142="",H142=""),"",J142*VLOOKUP(F142,'Factors and Tables'!$A$112:$C$117,3,FALSE))</f>
        <v/>
      </c>
    </row>
    <row r="143" spans="4:11" x14ac:dyDescent="0.25">
      <c r="D143" s="69"/>
      <c r="E143" s="69"/>
      <c r="F143" s="69" t="s">
        <v>332</v>
      </c>
      <c r="G143" s="69"/>
      <c r="H143" s="10"/>
      <c r="I143" s="25" t="str">
        <f t="shared" si="1"/>
        <v/>
      </c>
      <c r="J143" s="77" t="str">
        <f>IF(H143="","",Fuel!H143*VLOOKUP(F143,'Factors and Tables'!$A$112:$B$117,2,FALSE))</f>
        <v/>
      </c>
      <c r="K143" s="46" t="str">
        <f>IF(OR(F143="",H143=""),"",J143*VLOOKUP(F143,'Factors and Tables'!$A$112:$C$117,3,FALSE))</f>
        <v/>
      </c>
    </row>
    <row r="144" spans="4:11" x14ac:dyDescent="0.25">
      <c r="D144" s="69"/>
      <c r="E144" s="69"/>
      <c r="F144" s="69" t="s">
        <v>332</v>
      </c>
      <c r="G144" s="69"/>
      <c r="H144" s="10"/>
      <c r="I144" s="25" t="str">
        <f t="shared" si="1"/>
        <v/>
      </c>
      <c r="J144" s="77" t="str">
        <f>IF(H144="","",Fuel!H144*VLOOKUP(F144,'Factors and Tables'!$A$112:$B$117,2,FALSE))</f>
        <v/>
      </c>
      <c r="K144" s="46" t="str">
        <f>IF(OR(F144="",H144=""),"",J144*VLOOKUP(F144,'Factors and Tables'!$A$112:$C$117,3,FALSE))</f>
        <v/>
      </c>
    </row>
    <row r="145" spans="4:11" x14ac:dyDescent="0.25">
      <c r="D145" s="69"/>
      <c r="E145" s="69"/>
      <c r="F145" s="69" t="s">
        <v>332</v>
      </c>
      <c r="G145" s="69"/>
      <c r="H145" s="10"/>
      <c r="I145" s="25" t="str">
        <f t="shared" si="1"/>
        <v/>
      </c>
      <c r="J145" s="77" t="str">
        <f>IF(H145="","",Fuel!H145*VLOOKUP(F145,'Factors and Tables'!$A$112:$B$117,2,FALSE))</f>
        <v/>
      </c>
      <c r="K145" s="46" t="str">
        <f>IF(OR(F145="",H145=""),"",J145*VLOOKUP(F145,'Factors and Tables'!$A$112:$C$117,3,FALSE))</f>
        <v/>
      </c>
    </row>
    <row r="146" spans="4:11" x14ac:dyDescent="0.25">
      <c r="D146" s="69"/>
      <c r="E146" s="69"/>
      <c r="F146" s="69" t="s">
        <v>332</v>
      </c>
      <c r="G146" s="69"/>
      <c r="H146" s="10"/>
      <c r="I146" s="25" t="str">
        <f t="shared" si="1"/>
        <v/>
      </c>
      <c r="J146" s="77" t="str">
        <f>IF(H146="","",Fuel!H146*VLOOKUP(F146,'Factors and Tables'!$A$112:$B$117,2,FALSE))</f>
        <v/>
      </c>
      <c r="K146" s="46" t="str">
        <f>IF(OR(F146="",H146=""),"",J146*VLOOKUP(F146,'Factors and Tables'!$A$112:$C$117,3,FALSE))</f>
        <v/>
      </c>
    </row>
    <row r="147" spans="4:11" x14ac:dyDescent="0.25">
      <c r="D147" s="69"/>
      <c r="E147" s="69"/>
      <c r="F147" s="69" t="s">
        <v>332</v>
      </c>
      <c r="G147" s="69"/>
      <c r="H147" s="10"/>
      <c r="I147" s="25" t="str">
        <f t="shared" si="1"/>
        <v/>
      </c>
      <c r="J147" s="77" t="str">
        <f>IF(H147="","",Fuel!H147*VLOOKUP(F147,'Factors and Tables'!$A$112:$B$117,2,FALSE))</f>
        <v/>
      </c>
      <c r="K147" s="46" t="str">
        <f>IF(OR(F147="",H147=""),"",J147*VLOOKUP(F147,'Factors and Tables'!$A$112:$C$117,3,FALSE))</f>
        <v/>
      </c>
    </row>
    <row r="148" spans="4:11" x14ac:dyDescent="0.25">
      <c r="D148" s="69"/>
      <c r="E148" s="69"/>
      <c r="F148" s="69" t="s">
        <v>332</v>
      </c>
      <c r="G148" s="69"/>
      <c r="H148" s="10"/>
      <c r="I148" s="25" t="str">
        <f t="shared" si="1"/>
        <v/>
      </c>
      <c r="J148" s="77" t="str">
        <f>IF(H148="","",Fuel!H148*VLOOKUP(F148,'Factors and Tables'!$A$112:$B$117,2,FALSE))</f>
        <v/>
      </c>
      <c r="K148" s="46" t="str">
        <f>IF(OR(F148="",H148=""),"",J148*VLOOKUP(F148,'Factors and Tables'!$A$112:$C$117,3,FALSE))</f>
        <v/>
      </c>
    </row>
    <row r="149" spans="4:11" x14ac:dyDescent="0.25">
      <c r="D149" s="69"/>
      <c r="E149" s="69"/>
      <c r="F149" s="69" t="s">
        <v>332</v>
      </c>
      <c r="G149" s="69"/>
      <c r="H149" s="10"/>
      <c r="I149" s="25" t="str">
        <f t="shared" si="1"/>
        <v/>
      </c>
      <c r="J149" s="77" t="str">
        <f>IF(H149="","",Fuel!H149*VLOOKUP(F149,'Factors and Tables'!$A$112:$B$117,2,FALSE))</f>
        <v/>
      </c>
      <c r="K149" s="46" t="str">
        <f>IF(OR(F149="",H149=""),"",J149*VLOOKUP(F149,'Factors and Tables'!$A$112:$C$117,3,FALSE))</f>
        <v/>
      </c>
    </row>
    <row r="150" spans="4:11" x14ac:dyDescent="0.25">
      <c r="D150" s="69"/>
      <c r="E150" s="69"/>
      <c r="F150" s="69" t="s">
        <v>332</v>
      </c>
      <c r="G150" s="69"/>
      <c r="H150" s="10"/>
      <c r="I150" s="25" t="str">
        <f t="shared" si="1"/>
        <v/>
      </c>
      <c r="J150" s="77" t="str">
        <f>IF(H150="","",Fuel!H150*VLOOKUP(F150,'Factors and Tables'!$A$112:$B$117,2,FALSE))</f>
        <v/>
      </c>
      <c r="K150" s="46" t="str">
        <f>IF(OR(F150="",H150=""),"",J150*VLOOKUP(F150,'Factors and Tables'!$A$112:$C$117,3,FALSE))</f>
        <v/>
      </c>
    </row>
    <row r="151" spans="4:11" x14ac:dyDescent="0.25">
      <c r="D151" s="69"/>
      <c r="E151" s="69"/>
      <c r="F151" s="69" t="s">
        <v>332</v>
      </c>
      <c r="G151" s="69"/>
      <c r="H151" s="10"/>
      <c r="I151" s="25" t="str">
        <f t="shared" si="1"/>
        <v/>
      </c>
      <c r="J151" s="77" t="str">
        <f>IF(H151="","",Fuel!H151*VLOOKUP(F151,'Factors and Tables'!$A$112:$B$117,2,FALSE))</f>
        <v/>
      </c>
      <c r="K151" s="46" t="str">
        <f>IF(OR(F151="",H151=""),"",J151*VLOOKUP(F151,'Factors and Tables'!$A$112:$C$117,3,FALSE))</f>
        <v/>
      </c>
    </row>
    <row r="152" spans="4:11" x14ac:dyDescent="0.25">
      <c r="D152" s="69"/>
      <c r="E152" s="69"/>
      <c r="F152" s="69" t="s">
        <v>332</v>
      </c>
      <c r="G152" s="69"/>
      <c r="H152" s="10"/>
      <c r="I152" s="25" t="str">
        <f t="shared" si="1"/>
        <v/>
      </c>
      <c r="J152" s="77" t="str">
        <f>IF(H152="","",Fuel!H152*VLOOKUP(F152,'Factors and Tables'!$A$112:$B$117,2,FALSE))</f>
        <v/>
      </c>
      <c r="K152" s="46" t="str">
        <f>IF(OR(F152="",H152=""),"",J152*VLOOKUP(F152,'Factors and Tables'!$A$112:$C$117,3,FALSE))</f>
        <v/>
      </c>
    </row>
    <row r="153" spans="4:11" x14ac:dyDescent="0.25">
      <c r="D153" s="69"/>
      <c r="E153" s="69"/>
      <c r="F153" s="69" t="s">
        <v>332</v>
      </c>
      <c r="G153" s="69"/>
      <c r="H153" s="10"/>
      <c r="I153" s="25" t="str">
        <f t="shared" si="1"/>
        <v/>
      </c>
      <c r="J153" s="77" t="str">
        <f>IF(H153="","",Fuel!H153*VLOOKUP(F153,'Factors and Tables'!$A$112:$B$117,2,FALSE))</f>
        <v/>
      </c>
      <c r="K153" s="46" t="str">
        <f>IF(OR(F153="",H153=""),"",J153*VLOOKUP(F153,'Factors and Tables'!$A$112:$C$117,3,FALSE))</f>
        <v/>
      </c>
    </row>
    <row r="154" spans="4:11" x14ac:dyDescent="0.25">
      <c r="D154" s="69"/>
      <c r="E154" s="69"/>
      <c r="F154" s="69" t="s">
        <v>332</v>
      </c>
      <c r="G154" s="69"/>
      <c r="H154" s="10"/>
      <c r="I154" s="25" t="str">
        <f t="shared" si="1"/>
        <v/>
      </c>
      <c r="J154" s="77" t="str">
        <f>IF(H154="","",Fuel!H154*VLOOKUP(F154,'Factors and Tables'!$A$112:$B$117,2,FALSE))</f>
        <v/>
      </c>
      <c r="K154" s="46" t="str">
        <f>IF(OR(F154="",H154=""),"",J154*VLOOKUP(F154,'Factors and Tables'!$A$112:$C$117,3,FALSE))</f>
        <v/>
      </c>
    </row>
    <row r="155" spans="4:11" x14ac:dyDescent="0.25">
      <c r="D155" s="69"/>
      <c r="E155" s="69"/>
      <c r="F155" s="69" t="s">
        <v>332</v>
      </c>
      <c r="G155" s="69"/>
      <c r="H155" s="10"/>
      <c r="I155" s="25" t="str">
        <f t="shared" si="1"/>
        <v/>
      </c>
      <c r="J155" s="77" t="str">
        <f>IF(H155="","",Fuel!H155*VLOOKUP(F155,'Factors and Tables'!$A$112:$B$117,2,FALSE))</f>
        <v/>
      </c>
      <c r="K155" s="46" t="str">
        <f>IF(OR(F155="",H155=""),"",J155*VLOOKUP(F155,'Factors and Tables'!$A$112:$C$117,3,FALSE))</f>
        <v/>
      </c>
    </row>
    <row r="156" spans="4:11" x14ac:dyDescent="0.25">
      <c r="D156" s="69"/>
      <c r="E156" s="69"/>
      <c r="F156" s="69" t="s">
        <v>332</v>
      </c>
      <c r="G156" s="69"/>
      <c r="H156" s="10"/>
      <c r="I156" s="25" t="str">
        <f t="shared" si="1"/>
        <v/>
      </c>
      <c r="J156" s="77" t="str">
        <f>IF(H156="","",Fuel!H156*VLOOKUP(F156,'Factors and Tables'!$A$112:$B$117,2,FALSE))</f>
        <v/>
      </c>
      <c r="K156" s="46" t="str">
        <f>IF(OR(F156="",H156=""),"",J156*VLOOKUP(F156,'Factors and Tables'!$A$112:$C$117,3,FALSE))</f>
        <v/>
      </c>
    </row>
    <row r="157" spans="4:11" x14ac:dyDescent="0.25">
      <c r="D157" s="69"/>
      <c r="E157" s="69"/>
      <c r="F157" s="69" t="s">
        <v>332</v>
      </c>
      <c r="G157" s="69"/>
      <c r="H157" s="10"/>
      <c r="I157" s="25" t="str">
        <f t="shared" si="1"/>
        <v/>
      </c>
      <c r="J157" s="77" t="str">
        <f>IF(H157="","",Fuel!H157*VLOOKUP(F157,'Factors and Tables'!$A$112:$B$117,2,FALSE))</f>
        <v/>
      </c>
      <c r="K157" s="46" t="str">
        <f>IF(OR(F157="",H157=""),"",J157*VLOOKUP(F157,'Factors and Tables'!$A$112:$C$117,3,FALSE))</f>
        <v/>
      </c>
    </row>
    <row r="158" spans="4:11" x14ac:dyDescent="0.25">
      <c r="D158" s="69"/>
      <c r="E158" s="69"/>
      <c r="F158" s="69" t="s">
        <v>332</v>
      </c>
      <c r="G158" s="69"/>
      <c r="H158" s="10"/>
      <c r="I158" s="25" t="str">
        <f t="shared" si="1"/>
        <v/>
      </c>
      <c r="J158" s="77" t="str">
        <f>IF(H158="","",Fuel!H158*VLOOKUP(F158,'Factors and Tables'!$A$112:$B$117,2,FALSE))</f>
        <v/>
      </c>
      <c r="K158" s="46" t="str">
        <f>IF(OR(F158="",H158=""),"",J158*VLOOKUP(F158,'Factors and Tables'!$A$112:$C$117,3,FALSE))</f>
        <v/>
      </c>
    </row>
    <row r="159" spans="4:11" x14ac:dyDescent="0.25">
      <c r="D159" s="69"/>
      <c r="E159" s="69"/>
      <c r="F159" s="69" t="s">
        <v>332</v>
      </c>
      <c r="G159" s="69"/>
      <c r="H159" s="10"/>
      <c r="I159" s="25" t="str">
        <f t="shared" si="1"/>
        <v/>
      </c>
      <c r="J159" s="77" t="str">
        <f>IF(H159="","",Fuel!H159*VLOOKUP(F159,'Factors and Tables'!$A$112:$B$117,2,FALSE))</f>
        <v/>
      </c>
      <c r="K159" s="46" t="str">
        <f>IF(OR(F159="",H159=""),"",J159*VLOOKUP(F159,'Factors and Tables'!$A$112:$C$117,3,FALSE))</f>
        <v/>
      </c>
    </row>
    <row r="160" spans="4:11" x14ac:dyDescent="0.25">
      <c r="D160" s="69"/>
      <c r="E160" s="69"/>
      <c r="F160" s="69" t="s">
        <v>332</v>
      </c>
      <c r="G160" s="69"/>
      <c r="H160" s="10"/>
      <c r="I160" s="25" t="str">
        <f t="shared" si="1"/>
        <v/>
      </c>
      <c r="J160" s="77" t="str">
        <f>IF(H160="","",Fuel!H160*VLOOKUP(F160,'Factors and Tables'!$A$112:$B$117,2,FALSE))</f>
        <v/>
      </c>
      <c r="K160" s="46" t="str">
        <f>IF(OR(F160="",H160=""),"",J160*VLOOKUP(F160,'Factors and Tables'!$A$112:$C$117,3,FALSE))</f>
        <v/>
      </c>
    </row>
    <row r="161" spans="4:11" x14ac:dyDescent="0.25">
      <c r="D161" s="69"/>
      <c r="E161" s="69"/>
      <c r="F161" s="69" t="s">
        <v>332</v>
      </c>
      <c r="G161" s="69"/>
      <c r="H161" s="10"/>
      <c r="I161" s="25" t="str">
        <f t="shared" si="1"/>
        <v/>
      </c>
      <c r="J161" s="77" t="str">
        <f>IF(H161="","",Fuel!H161*VLOOKUP(F161,'Factors and Tables'!$A$112:$B$117,2,FALSE))</f>
        <v/>
      </c>
      <c r="K161" s="46" t="str">
        <f>IF(OR(F161="",H161=""),"",J161*VLOOKUP(F161,'Factors and Tables'!$A$112:$C$117,3,FALSE))</f>
        <v/>
      </c>
    </row>
    <row r="162" spans="4:11" x14ac:dyDescent="0.25">
      <c r="D162" s="69"/>
      <c r="E162" s="69"/>
      <c r="F162" s="69" t="s">
        <v>332</v>
      </c>
      <c r="G162" s="69"/>
      <c r="H162" s="10"/>
      <c r="I162" s="25" t="str">
        <f t="shared" si="1"/>
        <v/>
      </c>
      <c r="J162" s="77" t="str">
        <f>IF(H162="","",Fuel!H162*VLOOKUP(F162,'Factors and Tables'!$A$112:$B$117,2,FALSE))</f>
        <v/>
      </c>
      <c r="K162" s="46" t="str">
        <f>IF(OR(F162="",H162=""),"",J162*VLOOKUP(F162,'Factors and Tables'!$A$112:$C$117,3,FALSE))</f>
        <v/>
      </c>
    </row>
    <row r="163" spans="4:11" x14ac:dyDescent="0.25">
      <c r="D163" s="69"/>
      <c r="E163" s="69"/>
      <c r="F163" s="69" t="s">
        <v>332</v>
      </c>
      <c r="G163" s="69"/>
      <c r="H163" s="10"/>
      <c r="I163" s="25" t="str">
        <f t="shared" si="1"/>
        <v/>
      </c>
      <c r="J163" s="77" t="str">
        <f>IF(H163="","",Fuel!H163*VLOOKUP(F163,'Factors and Tables'!$A$112:$B$117,2,FALSE))</f>
        <v/>
      </c>
      <c r="K163" s="46" t="str">
        <f>IF(OR(F163="",H163=""),"",J163*VLOOKUP(F163,'Factors and Tables'!$A$112:$C$117,3,FALSE))</f>
        <v/>
      </c>
    </row>
    <row r="164" spans="4:11" x14ac:dyDescent="0.25">
      <c r="D164" s="69"/>
      <c r="E164" s="69"/>
      <c r="F164" s="69" t="s">
        <v>332</v>
      </c>
      <c r="G164" s="69"/>
      <c r="H164" s="10"/>
      <c r="I164" s="25" t="str">
        <f t="shared" si="1"/>
        <v/>
      </c>
      <c r="J164" s="77" t="str">
        <f>IF(H164="","",Fuel!H164*VLOOKUP(F164,'Factors and Tables'!$A$112:$B$117,2,FALSE))</f>
        <v/>
      </c>
      <c r="K164" s="46" t="str">
        <f>IF(OR(F164="",H164=""),"",J164*VLOOKUP(F164,'Factors and Tables'!$A$112:$C$117,3,FALSE))</f>
        <v/>
      </c>
    </row>
    <row r="165" spans="4:11" x14ac:dyDescent="0.25">
      <c r="D165" s="69"/>
      <c r="E165" s="69"/>
      <c r="F165" s="69" t="s">
        <v>332</v>
      </c>
      <c r="G165" s="69"/>
      <c r="H165" s="10"/>
      <c r="I165" s="25" t="str">
        <f t="shared" si="1"/>
        <v/>
      </c>
      <c r="J165" s="77" t="str">
        <f>IF(H165="","",Fuel!H165*VLOOKUP(F165,'Factors and Tables'!$A$112:$B$117,2,FALSE))</f>
        <v/>
      </c>
      <c r="K165" s="46" t="str">
        <f>IF(OR(F165="",H165=""),"",J165*VLOOKUP(F165,'Factors and Tables'!$A$112:$C$117,3,FALSE))</f>
        <v/>
      </c>
    </row>
    <row r="166" spans="4:11" x14ac:dyDescent="0.25">
      <c r="D166" s="69"/>
      <c r="E166" s="69"/>
      <c r="F166" s="69" t="s">
        <v>332</v>
      </c>
      <c r="G166" s="69"/>
      <c r="H166" s="10"/>
      <c r="I166" s="25" t="str">
        <f t="shared" si="1"/>
        <v/>
      </c>
      <c r="J166" s="77" t="str">
        <f>IF(H166="","",Fuel!H166*VLOOKUP(F166,'Factors and Tables'!$A$112:$B$117,2,FALSE))</f>
        <v/>
      </c>
      <c r="K166" s="46" t="str">
        <f>IF(OR(F166="",H166=""),"",J166*VLOOKUP(F166,'Factors and Tables'!$A$112:$C$117,3,FALSE))</f>
        <v/>
      </c>
    </row>
    <row r="167" spans="4:11" x14ac:dyDescent="0.25">
      <c r="D167" s="69"/>
      <c r="E167" s="69"/>
      <c r="F167" s="69" t="s">
        <v>332</v>
      </c>
      <c r="G167" s="69"/>
      <c r="H167" s="10"/>
      <c r="I167" s="25" t="str">
        <f t="shared" si="1"/>
        <v/>
      </c>
      <c r="J167" s="77" t="str">
        <f>IF(H167="","",Fuel!H167*VLOOKUP(F167,'Factors and Tables'!$A$112:$B$117,2,FALSE))</f>
        <v/>
      </c>
      <c r="K167" s="46" t="str">
        <f>IF(OR(F167="",H167=""),"",J167*VLOOKUP(F167,'Factors and Tables'!$A$112:$C$117,3,FALSE))</f>
        <v/>
      </c>
    </row>
    <row r="168" spans="4:11" x14ac:dyDescent="0.25">
      <c r="D168" s="69"/>
      <c r="E168" s="69"/>
      <c r="F168" s="69" t="s">
        <v>332</v>
      </c>
      <c r="G168" s="69"/>
      <c r="H168" s="10"/>
      <c r="I168" s="25" t="str">
        <f t="shared" si="1"/>
        <v/>
      </c>
      <c r="J168" s="77" t="str">
        <f>IF(H168="","",Fuel!H168*VLOOKUP(F168,'Factors and Tables'!$A$112:$B$117,2,FALSE))</f>
        <v/>
      </c>
      <c r="K168" s="46" t="str">
        <f>IF(OR(F168="",H168=""),"",J168*VLOOKUP(F168,'Factors and Tables'!$A$112:$C$117,3,FALSE))</f>
        <v/>
      </c>
    </row>
    <row r="169" spans="4:11" x14ac:dyDescent="0.25">
      <c r="D169" s="69"/>
      <c r="E169" s="69"/>
      <c r="F169" s="69" t="s">
        <v>332</v>
      </c>
      <c r="G169" s="69"/>
      <c r="H169" s="10"/>
      <c r="I169" s="25" t="str">
        <f t="shared" si="1"/>
        <v/>
      </c>
      <c r="J169" s="77" t="str">
        <f>IF(H169="","",Fuel!H169*VLOOKUP(F169,'Factors and Tables'!$A$112:$B$117,2,FALSE))</f>
        <v/>
      </c>
      <c r="K169" s="46" t="str">
        <f>IF(OR(F169="",H169=""),"",J169*VLOOKUP(F169,'Factors and Tables'!$A$112:$C$117,3,FALSE))</f>
        <v/>
      </c>
    </row>
    <row r="170" spans="4:11" x14ac:dyDescent="0.25">
      <c r="D170" s="69"/>
      <c r="E170" s="69"/>
      <c r="F170" s="69" t="s">
        <v>332</v>
      </c>
      <c r="G170" s="69"/>
      <c r="H170" s="10"/>
      <c r="I170" s="25" t="str">
        <f t="shared" si="1"/>
        <v/>
      </c>
      <c r="J170" s="77" t="str">
        <f>IF(H170="","",Fuel!H170*VLOOKUP(F170,'Factors and Tables'!$A$112:$B$117,2,FALSE))</f>
        <v/>
      </c>
      <c r="K170" s="46" t="str">
        <f>IF(OR(F170="",H170=""),"",J170*VLOOKUP(F170,'Factors and Tables'!$A$112:$C$117,3,FALSE))</f>
        <v/>
      </c>
    </row>
    <row r="171" spans="4:11" x14ac:dyDescent="0.25">
      <c r="D171" s="69"/>
      <c r="E171" s="69"/>
      <c r="F171" s="69" t="s">
        <v>332</v>
      </c>
      <c r="G171" s="69"/>
      <c r="H171" s="10"/>
      <c r="I171" s="25" t="str">
        <f t="shared" si="1"/>
        <v/>
      </c>
      <c r="J171" s="77" t="str">
        <f>IF(H171="","",Fuel!H171*VLOOKUP(F171,'Factors and Tables'!$A$112:$B$117,2,FALSE))</f>
        <v/>
      </c>
      <c r="K171" s="46" t="str">
        <f>IF(OR(F171="",H171=""),"",J171*VLOOKUP(F171,'Factors and Tables'!$A$112:$C$117,3,FALSE))</f>
        <v/>
      </c>
    </row>
    <row r="172" spans="4:11" x14ac:dyDescent="0.25">
      <c r="D172" s="69"/>
      <c r="E172" s="69"/>
      <c r="F172" s="69" t="s">
        <v>332</v>
      </c>
      <c r="G172" s="69"/>
      <c r="H172" s="10"/>
      <c r="I172" s="25" t="str">
        <f t="shared" si="1"/>
        <v/>
      </c>
      <c r="J172" s="77" t="str">
        <f>IF(H172="","",Fuel!H172*VLOOKUP(F172,'Factors and Tables'!$A$112:$B$117,2,FALSE))</f>
        <v/>
      </c>
      <c r="K172" s="46" t="str">
        <f>IF(OR(F172="",H172=""),"",J172*VLOOKUP(F172,'Factors and Tables'!$A$112:$C$117,3,FALSE))</f>
        <v/>
      </c>
    </row>
    <row r="173" spans="4:11" x14ac:dyDescent="0.25">
      <c r="D173" s="69"/>
      <c r="E173" s="69"/>
      <c r="F173" s="69" t="s">
        <v>332</v>
      </c>
      <c r="G173" s="69"/>
      <c r="H173" s="10"/>
      <c r="I173" s="25" t="str">
        <f t="shared" ref="I173:I236" si="2">IF(OR(F173="Diesel",F173="Petrol",F173="E10",F173="LPG"),"litres",IF(F173="CNG","GJ",IF(F173="Electricity","kWh","")))</f>
        <v/>
      </c>
      <c r="J173" s="77" t="str">
        <f>IF(H173="","",Fuel!H173*VLOOKUP(F173,'Factors and Tables'!$A$112:$B$117,2,FALSE))</f>
        <v/>
      </c>
      <c r="K173" s="46" t="str">
        <f>IF(OR(F173="",H173=""),"",J173*VLOOKUP(F173,'Factors and Tables'!$A$112:$C$117,3,FALSE))</f>
        <v/>
      </c>
    </row>
    <row r="174" spans="4:11" x14ac:dyDescent="0.25">
      <c r="D174" s="69"/>
      <c r="E174" s="69"/>
      <c r="F174" s="69" t="s">
        <v>332</v>
      </c>
      <c r="G174" s="69"/>
      <c r="H174" s="10"/>
      <c r="I174" s="25" t="str">
        <f t="shared" si="2"/>
        <v/>
      </c>
      <c r="J174" s="77" t="str">
        <f>IF(H174="","",Fuel!H174*VLOOKUP(F174,'Factors and Tables'!$A$112:$B$117,2,FALSE))</f>
        <v/>
      </c>
      <c r="K174" s="46" t="str">
        <f>IF(OR(F174="",H174=""),"",J174*VLOOKUP(F174,'Factors and Tables'!$A$112:$C$117,3,FALSE))</f>
        <v/>
      </c>
    </row>
    <row r="175" spans="4:11" x14ac:dyDescent="0.25">
      <c r="D175" s="69"/>
      <c r="E175" s="69"/>
      <c r="F175" s="69"/>
      <c r="G175" s="69"/>
      <c r="H175" s="10"/>
      <c r="I175" s="25" t="str">
        <f t="shared" si="2"/>
        <v/>
      </c>
      <c r="J175" s="77" t="str">
        <f>IF(H175="","",Fuel!H175*VLOOKUP(F175,'Factors and Tables'!$A$112:$B$117,2,FALSE))</f>
        <v/>
      </c>
      <c r="K175" s="46" t="str">
        <f>IF(OR(F175="",H175=""),"",J175*VLOOKUP(F175,'Factors and Tables'!$A$112:$C$117,3,FALSE))</f>
        <v/>
      </c>
    </row>
    <row r="176" spans="4:11" x14ac:dyDescent="0.25">
      <c r="D176" s="69"/>
      <c r="E176" s="69"/>
      <c r="F176" s="69"/>
      <c r="G176" s="69"/>
      <c r="H176" s="10"/>
      <c r="I176" s="25" t="str">
        <f t="shared" si="2"/>
        <v/>
      </c>
      <c r="J176" s="77" t="str">
        <f>IF(H176="","",Fuel!H176*VLOOKUP(F176,'Factors and Tables'!$A$112:$B$117,2,FALSE))</f>
        <v/>
      </c>
      <c r="K176" s="46" t="str">
        <f>IF(OR(F176="",H176=""),"",J176*VLOOKUP(F176,'Factors and Tables'!$A$112:$C$117,3,FALSE))</f>
        <v/>
      </c>
    </row>
    <row r="177" spans="4:11" x14ac:dyDescent="0.25">
      <c r="D177" s="69"/>
      <c r="E177" s="69"/>
      <c r="F177" s="69"/>
      <c r="G177" s="69"/>
      <c r="H177" s="10"/>
      <c r="I177" s="25" t="str">
        <f t="shared" si="2"/>
        <v/>
      </c>
      <c r="J177" s="77" t="str">
        <f>IF(H177="","",Fuel!H177*VLOOKUP(F177,'Factors and Tables'!$A$112:$B$117,2,FALSE))</f>
        <v/>
      </c>
      <c r="K177" s="46" t="str">
        <f>IF(OR(F177="",H177=""),"",J177*VLOOKUP(F177,'Factors and Tables'!$A$112:$C$117,3,FALSE))</f>
        <v/>
      </c>
    </row>
    <row r="178" spans="4:11" x14ac:dyDescent="0.25">
      <c r="D178" s="69"/>
      <c r="E178" s="69"/>
      <c r="F178" s="69"/>
      <c r="G178" s="69"/>
      <c r="H178" s="10"/>
      <c r="I178" s="25" t="str">
        <f t="shared" si="2"/>
        <v/>
      </c>
      <c r="J178" s="77" t="str">
        <f>IF(H178="","",Fuel!H178*VLOOKUP(F178,'Factors and Tables'!$A$112:$B$117,2,FALSE))</f>
        <v/>
      </c>
      <c r="K178" s="46" t="str">
        <f>IF(OR(F178="",H178=""),"",J178*VLOOKUP(F178,'Factors and Tables'!$A$112:$C$117,3,FALSE))</f>
        <v/>
      </c>
    </row>
    <row r="179" spans="4:11" x14ac:dyDescent="0.25">
      <c r="D179" s="69"/>
      <c r="E179" s="69"/>
      <c r="F179" s="69"/>
      <c r="G179" s="69"/>
      <c r="H179" s="10"/>
      <c r="I179" s="25" t="str">
        <f t="shared" si="2"/>
        <v/>
      </c>
      <c r="J179" s="77" t="str">
        <f>IF(H179="","",Fuel!H179*VLOOKUP(F179,'Factors and Tables'!$A$112:$B$117,2,FALSE))</f>
        <v/>
      </c>
      <c r="K179" s="46" t="str">
        <f>IF(OR(F179="",H179=""),"",J179*VLOOKUP(F179,'Factors and Tables'!$A$112:$C$117,3,FALSE))</f>
        <v/>
      </c>
    </row>
    <row r="180" spans="4:11" x14ac:dyDescent="0.25">
      <c r="D180" s="69"/>
      <c r="E180" s="69"/>
      <c r="F180" s="69"/>
      <c r="G180" s="69"/>
      <c r="H180" s="10"/>
      <c r="I180" s="25" t="str">
        <f t="shared" si="2"/>
        <v/>
      </c>
      <c r="J180" s="77" t="str">
        <f>IF(H180="","",Fuel!H180*VLOOKUP(F180,'Factors and Tables'!$A$112:$B$117,2,FALSE))</f>
        <v/>
      </c>
      <c r="K180" s="46" t="str">
        <f>IF(OR(F180="",H180=""),"",J180*VLOOKUP(F180,'Factors and Tables'!$A$112:$C$117,3,FALSE))</f>
        <v/>
      </c>
    </row>
    <row r="181" spans="4:11" x14ac:dyDescent="0.25">
      <c r="D181" s="69"/>
      <c r="E181" s="69"/>
      <c r="F181" s="69"/>
      <c r="G181" s="69"/>
      <c r="H181" s="10"/>
      <c r="I181" s="25" t="str">
        <f t="shared" si="2"/>
        <v/>
      </c>
      <c r="J181" s="77" t="str">
        <f>IF(H181="","",Fuel!H181*VLOOKUP(F181,'Factors and Tables'!$A$112:$B$117,2,FALSE))</f>
        <v/>
      </c>
      <c r="K181" s="46" t="str">
        <f>IF(OR(F181="",H181=""),"",J181*VLOOKUP(F181,'Factors and Tables'!$A$112:$C$117,3,FALSE))</f>
        <v/>
      </c>
    </row>
    <row r="182" spans="4:11" x14ac:dyDescent="0.25">
      <c r="D182" s="69"/>
      <c r="E182" s="69"/>
      <c r="F182" s="69"/>
      <c r="G182" s="69"/>
      <c r="H182" s="10"/>
      <c r="I182" s="25" t="str">
        <f t="shared" si="2"/>
        <v/>
      </c>
      <c r="J182" s="77" t="str">
        <f>IF(H182="","",Fuel!H182*VLOOKUP(F182,'Factors and Tables'!$A$112:$B$117,2,FALSE))</f>
        <v/>
      </c>
      <c r="K182" s="46" t="str">
        <f>IF(OR(F182="",H182=""),"",J182*VLOOKUP(F182,'Factors and Tables'!$A$112:$C$117,3,FALSE))</f>
        <v/>
      </c>
    </row>
    <row r="183" spans="4:11" x14ac:dyDescent="0.25">
      <c r="D183" s="69"/>
      <c r="E183" s="69"/>
      <c r="F183" s="69"/>
      <c r="G183" s="69"/>
      <c r="H183" s="10"/>
      <c r="I183" s="25" t="str">
        <f t="shared" si="2"/>
        <v/>
      </c>
      <c r="J183" s="77" t="str">
        <f>IF(H183="","",Fuel!H183*VLOOKUP(F183,'Factors and Tables'!$A$112:$B$117,2,FALSE))</f>
        <v/>
      </c>
      <c r="K183" s="46" t="str">
        <f>IF(OR(F183="",H183=""),"",J183*VLOOKUP(F183,'Factors and Tables'!$A$112:$C$117,3,FALSE))</f>
        <v/>
      </c>
    </row>
    <row r="184" spans="4:11" x14ac:dyDescent="0.25">
      <c r="D184" s="69"/>
      <c r="E184" s="69"/>
      <c r="F184" s="69"/>
      <c r="G184" s="69"/>
      <c r="H184" s="10"/>
      <c r="I184" s="25" t="str">
        <f t="shared" si="2"/>
        <v/>
      </c>
      <c r="J184" s="77" t="str">
        <f>IF(H184="","",Fuel!H184*VLOOKUP(F184,'Factors and Tables'!$A$112:$B$117,2,FALSE))</f>
        <v/>
      </c>
      <c r="K184" s="46" t="str">
        <f>IF(OR(F184="",H184=""),"",J184*VLOOKUP(F184,'Factors and Tables'!$A$112:$C$117,3,FALSE))</f>
        <v/>
      </c>
    </row>
    <row r="185" spans="4:11" x14ac:dyDescent="0.25">
      <c r="D185" s="69"/>
      <c r="E185" s="69"/>
      <c r="F185" s="69"/>
      <c r="G185" s="69"/>
      <c r="H185" s="10"/>
      <c r="I185" s="25" t="str">
        <f t="shared" si="2"/>
        <v/>
      </c>
      <c r="J185" s="77" t="str">
        <f>IF(H185="","",Fuel!H185*VLOOKUP(F185,'Factors and Tables'!$A$112:$B$117,2,FALSE))</f>
        <v/>
      </c>
      <c r="K185" s="46" t="str">
        <f>IF(OR(F185="",H185=""),"",J185*VLOOKUP(F185,'Factors and Tables'!$A$112:$C$117,3,FALSE))</f>
        <v/>
      </c>
    </row>
    <row r="186" spans="4:11" x14ac:dyDescent="0.25">
      <c r="D186" s="69"/>
      <c r="E186" s="69"/>
      <c r="F186" s="69"/>
      <c r="G186" s="69"/>
      <c r="H186" s="10"/>
      <c r="I186" s="25" t="str">
        <f t="shared" si="2"/>
        <v/>
      </c>
      <c r="J186" s="77" t="str">
        <f>IF(H186="","",Fuel!H186*VLOOKUP(F186,'Factors and Tables'!$A$112:$B$117,2,FALSE))</f>
        <v/>
      </c>
      <c r="K186" s="46" t="str">
        <f>IF(OR(F186="",H186=""),"",J186*VLOOKUP(F186,'Factors and Tables'!$A$112:$C$117,3,FALSE))</f>
        <v/>
      </c>
    </row>
    <row r="187" spans="4:11" x14ac:dyDescent="0.25">
      <c r="D187" s="69"/>
      <c r="E187" s="69"/>
      <c r="F187" s="69"/>
      <c r="G187" s="69"/>
      <c r="H187" s="10"/>
      <c r="I187" s="25" t="str">
        <f t="shared" si="2"/>
        <v/>
      </c>
      <c r="J187" s="77" t="str">
        <f>IF(H187="","",Fuel!H187*VLOOKUP(F187,'Factors and Tables'!$A$112:$B$117,2,FALSE))</f>
        <v/>
      </c>
      <c r="K187" s="46" t="str">
        <f>IF(OR(F187="",H187=""),"",J187*VLOOKUP(F187,'Factors and Tables'!$A$112:$C$117,3,FALSE))</f>
        <v/>
      </c>
    </row>
    <row r="188" spans="4:11" x14ac:dyDescent="0.25">
      <c r="D188" s="69"/>
      <c r="E188" s="69"/>
      <c r="F188" s="69"/>
      <c r="G188" s="69"/>
      <c r="H188" s="10"/>
      <c r="I188" s="25" t="str">
        <f t="shared" si="2"/>
        <v/>
      </c>
      <c r="J188" s="77" t="str">
        <f>IF(H188="","",Fuel!H188*VLOOKUP(F188,'Factors and Tables'!$A$112:$B$117,2,FALSE))</f>
        <v/>
      </c>
      <c r="K188" s="46" t="str">
        <f>IF(OR(F188="",H188=""),"",J188*VLOOKUP(F188,'Factors and Tables'!$A$112:$C$117,3,FALSE))</f>
        <v/>
      </c>
    </row>
    <row r="189" spans="4:11" x14ac:dyDescent="0.25">
      <c r="D189" s="69"/>
      <c r="E189" s="69"/>
      <c r="F189" s="69"/>
      <c r="G189" s="69"/>
      <c r="H189" s="10"/>
      <c r="I189" s="25" t="str">
        <f t="shared" si="2"/>
        <v/>
      </c>
      <c r="J189" s="77" t="str">
        <f>IF(H189="","",Fuel!H189*VLOOKUP(F189,'Factors and Tables'!$A$112:$B$117,2,FALSE))</f>
        <v/>
      </c>
      <c r="K189" s="46" t="str">
        <f>IF(OR(F189="",H189=""),"",J189*VLOOKUP(F189,'Factors and Tables'!$A$112:$C$117,3,FALSE))</f>
        <v/>
      </c>
    </row>
    <row r="190" spans="4:11" x14ac:dyDescent="0.25">
      <c r="D190" s="69"/>
      <c r="E190" s="69"/>
      <c r="F190" s="69"/>
      <c r="G190" s="69"/>
      <c r="H190" s="10"/>
      <c r="I190" s="25" t="str">
        <f t="shared" si="2"/>
        <v/>
      </c>
      <c r="J190" s="77" t="str">
        <f>IF(H190="","",Fuel!H190*VLOOKUP(F190,'Factors and Tables'!$A$112:$B$117,2,FALSE))</f>
        <v/>
      </c>
      <c r="K190" s="46" t="str">
        <f>IF(OR(F190="",H190=""),"",J190*VLOOKUP(F190,'Factors and Tables'!$A$112:$C$117,3,FALSE))</f>
        <v/>
      </c>
    </row>
    <row r="191" spans="4:11" x14ac:dyDescent="0.25">
      <c r="D191" s="69"/>
      <c r="E191" s="69"/>
      <c r="F191" s="69"/>
      <c r="G191" s="69"/>
      <c r="H191" s="10"/>
      <c r="I191" s="25" t="str">
        <f t="shared" si="2"/>
        <v/>
      </c>
      <c r="J191" s="77" t="str">
        <f>IF(H191="","",Fuel!H191*VLOOKUP(F191,'Factors and Tables'!$A$112:$B$117,2,FALSE))</f>
        <v/>
      </c>
      <c r="K191" s="46" t="str">
        <f>IF(OR(F191="",H191=""),"",J191*VLOOKUP(F191,'Factors and Tables'!$A$112:$C$117,3,FALSE))</f>
        <v/>
      </c>
    </row>
    <row r="192" spans="4:11" x14ac:dyDescent="0.25">
      <c r="D192" s="69"/>
      <c r="E192" s="69"/>
      <c r="F192" s="69"/>
      <c r="G192" s="69"/>
      <c r="H192" s="10"/>
      <c r="I192" s="25" t="str">
        <f t="shared" si="2"/>
        <v/>
      </c>
      <c r="J192" s="77" t="str">
        <f>IF(H192="","",Fuel!H192*VLOOKUP(F192,'Factors and Tables'!$A$112:$B$117,2,FALSE))</f>
        <v/>
      </c>
      <c r="K192" s="46" t="str">
        <f>IF(OR(F192="",H192=""),"",J192*VLOOKUP(F192,'Factors and Tables'!$A$112:$C$117,3,FALSE))</f>
        <v/>
      </c>
    </row>
    <row r="193" spans="4:11" x14ac:dyDescent="0.25">
      <c r="D193" s="69"/>
      <c r="E193" s="69"/>
      <c r="F193" s="69"/>
      <c r="G193" s="69"/>
      <c r="H193" s="10"/>
      <c r="I193" s="25" t="str">
        <f t="shared" si="2"/>
        <v/>
      </c>
      <c r="J193" s="77" t="str">
        <f>IF(H193="","",Fuel!H193*VLOOKUP(F193,'Factors and Tables'!$A$112:$B$117,2,FALSE))</f>
        <v/>
      </c>
      <c r="K193" s="46" t="str">
        <f>IF(OR(F193="",H193=""),"",J193*VLOOKUP(F193,'Factors and Tables'!$A$112:$C$117,3,FALSE))</f>
        <v/>
      </c>
    </row>
    <row r="194" spans="4:11" x14ac:dyDescent="0.25">
      <c r="D194" s="69"/>
      <c r="E194" s="69"/>
      <c r="F194" s="69"/>
      <c r="G194" s="69"/>
      <c r="H194" s="10"/>
      <c r="I194" s="25" t="str">
        <f t="shared" si="2"/>
        <v/>
      </c>
      <c r="J194" s="77" t="str">
        <f>IF(H194="","",Fuel!H194*VLOOKUP(F194,'Factors and Tables'!$A$112:$B$117,2,FALSE))</f>
        <v/>
      </c>
      <c r="K194" s="46" t="str">
        <f>IF(OR(F194="",H194=""),"",J194*VLOOKUP(F194,'Factors and Tables'!$A$112:$C$117,3,FALSE))</f>
        <v/>
      </c>
    </row>
    <row r="195" spans="4:11" x14ac:dyDescent="0.25">
      <c r="D195" s="69"/>
      <c r="E195" s="69"/>
      <c r="F195" s="69"/>
      <c r="G195" s="69"/>
      <c r="H195" s="10"/>
      <c r="I195" s="25" t="str">
        <f t="shared" si="2"/>
        <v/>
      </c>
      <c r="J195" s="77" t="str">
        <f>IF(H195="","",Fuel!H195*VLOOKUP(F195,'Factors and Tables'!$A$112:$B$117,2,FALSE))</f>
        <v/>
      </c>
      <c r="K195" s="46" t="str">
        <f>IF(OR(F195="",H195=""),"",J195*VLOOKUP(F195,'Factors and Tables'!$A$112:$C$117,3,FALSE))</f>
        <v/>
      </c>
    </row>
    <row r="196" spans="4:11" x14ac:dyDescent="0.25">
      <c r="D196" s="69"/>
      <c r="E196" s="69"/>
      <c r="F196" s="69"/>
      <c r="G196" s="69"/>
      <c r="H196" s="10"/>
      <c r="I196" s="25" t="str">
        <f t="shared" si="2"/>
        <v/>
      </c>
      <c r="J196" s="77" t="str">
        <f>IF(H196="","",Fuel!H196*VLOOKUP(F196,'Factors and Tables'!$A$112:$B$117,2,FALSE))</f>
        <v/>
      </c>
      <c r="K196" s="46" t="str">
        <f>IF(OR(F196="",H196=""),"",J196*VLOOKUP(F196,'Factors and Tables'!$A$112:$C$117,3,FALSE))</f>
        <v/>
      </c>
    </row>
    <row r="197" spans="4:11" x14ac:dyDescent="0.25">
      <c r="D197" s="69"/>
      <c r="E197" s="69"/>
      <c r="F197" s="69"/>
      <c r="G197" s="69"/>
      <c r="H197" s="10"/>
      <c r="I197" s="25" t="str">
        <f t="shared" si="2"/>
        <v/>
      </c>
      <c r="J197" s="77" t="str">
        <f>IF(H197="","",Fuel!H197*VLOOKUP(F197,'Factors and Tables'!$A$112:$B$117,2,FALSE))</f>
        <v/>
      </c>
      <c r="K197" s="46" t="str">
        <f>IF(OR(F197="",H197=""),"",J197*VLOOKUP(F197,'Factors and Tables'!$A$112:$C$117,3,FALSE))</f>
        <v/>
      </c>
    </row>
    <row r="198" spans="4:11" x14ac:dyDescent="0.25">
      <c r="D198" s="69"/>
      <c r="E198" s="69"/>
      <c r="F198" s="69"/>
      <c r="G198" s="69"/>
      <c r="H198" s="10"/>
      <c r="I198" s="25" t="str">
        <f t="shared" si="2"/>
        <v/>
      </c>
      <c r="J198" s="77" t="str">
        <f>IF(H198="","",Fuel!H198*VLOOKUP(F198,'Factors and Tables'!$A$112:$B$117,2,FALSE))</f>
        <v/>
      </c>
      <c r="K198" s="46" t="str">
        <f>IF(OR(F198="",H198=""),"",J198*VLOOKUP(F198,'Factors and Tables'!$A$112:$C$117,3,FALSE))</f>
        <v/>
      </c>
    </row>
    <row r="199" spans="4:11" x14ac:dyDescent="0.25">
      <c r="D199" s="69"/>
      <c r="E199" s="69"/>
      <c r="F199" s="69"/>
      <c r="G199" s="69"/>
      <c r="H199" s="10"/>
      <c r="I199" s="25" t="str">
        <f t="shared" si="2"/>
        <v/>
      </c>
      <c r="J199" s="77" t="str">
        <f>IF(H199="","",Fuel!H199*VLOOKUP(F199,'Factors and Tables'!$A$112:$B$117,2,FALSE))</f>
        <v/>
      </c>
      <c r="K199" s="46" t="str">
        <f>IF(OR(F199="",H199=""),"",J199*VLOOKUP(F199,'Factors and Tables'!$A$112:$C$117,3,FALSE))</f>
        <v/>
      </c>
    </row>
    <row r="200" spans="4:11" x14ac:dyDescent="0.25">
      <c r="D200" s="69"/>
      <c r="E200" s="69"/>
      <c r="F200" s="69"/>
      <c r="G200" s="69"/>
      <c r="H200" s="10"/>
      <c r="I200" s="25" t="str">
        <f t="shared" si="2"/>
        <v/>
      </c>
      <c r="J200" s="77" t="str">
        <f>IF(H200="","",Fuel!H200*VLOOKUP(F200,'Factors and Tables'!$A$112:$B$117,2,FALSE))</f>
        <v/>
      </c>
      <c r="K200" s="46" t="str">
        <f>IF(OR(F200="",H200=""),"",J200*VLOOKUP(F200,'Factors and Tables'!$A$112:$C$117,3,FALSE))</f>
        <v/>
      </c>
    </row>
    <row r="201" spans="4:11" x14ac:dyDescent="0.25">
      <c r="D201" s="69"/>
      <c r="E201" s="69"/>
      <c r="F201" s="69"/>
      <c r="G201" s="69"/>
      <c r="H201" s="10"/>
      <c r="I201" s="25" t="str">
        <f t="shared" si="2"/>
        <v/>
      </c>
      <c r="J201" s="77" t="str">
        <f>IF(H201="","",Fuel!H201*VLOOKUP(F201,'Factors and Tables'!$A$112:$B$117,2,FALSE))</f>
        <v/>
      </c>
      <c r="K201" s="46" t="str">
        <f>IF(OR(F201="",H201=""),"",J201*VLOOKUP(F201,'Factors and Tables'!$A$112:$C$117,3,FALSE))</f>
        <v/>
      </c>
    </row>
    <row r="202" spans="4:11" x14ac:dyDescent="0.25">
      <c r="D202" s="69"/>
      <c r="E202" s="69"/>
      <c r="F202" s="69"/>
      <c r="G202" s="69"/>
      <c r="H202" s="10"/>
      <c r="I202" s="25" t="str">
        <f t="shared" si="2"/>
        <v/>
      </c>
      <c r="J202" s="77" t="str">
        <f>IF(H202="","",Fuel!H202*VLOOKUP(F202,'Factors and Tables'!$A$112:$B$117,2,FALSE))</f>
        <v/>
      </c>
      <c r="K202" s="46" t="str">
        <f>IF(OR(F202="",H202=""),"",J202*VLOOKUP(F202,'Factors and Tables'!$A$112:$C$117,3,FALSE))</f>
        <v/>
      </c>
    </row>
    <row r="203" spans="4:11" x14ac:dyDescent="0.25">
      <c r="D203" s="69"/>
      <c r="E203" s="69"/>
      <c r="F203" s="69"/>
      <c r="G203" s="69"/>
      <c r="H203" s="10"/>
      <c r="I203" s="25" t="str">
        <f t="shared" si="2"/>
        <v/>
      </c>
      <c r="J203" s="77" t="str">
        <f>IF(H203="","",Fuel!H203*VLOOKUP(F203,'Factors and Tables'!$A$112:$B$117,2,FALSE))</f>
        <v/>
      </c>
      <c r="K203" s="46" t="str">
        <f>IF(OR(F203="",H203=""),"",J203*VLOOKUP(F203,'Factors and Tables'!$A$112:$C$117,3,FALSE))</f>
        <v/>
      </c>
    </row>
    <row r="204" spans="4:11" x14ac:dyDescent="0.25">
      <c r="D204" s="69"/>
      <c r="E204" s="69"/>
      <c r="F204" s="69"/>
      <c r="G204" s="69"/>
      <c r="H204" s="10"/>
      <c r="I204" s="25" t="str">
        <f t="shared" si="2"/>
        <v/>
      </c>
      <c r="J204" s="77" t="str">
        <f>IF(H204="","",Fuel!H204*VLOOKUP(F204,'Factors and Tables'!$A$112:$B$117,2,FALSE))</f>
        <v/>
      </c>
      <c r="K204" s="46" t="str">
        <f>IF(OR(F204="",H204=""),"",J204*VLOOKUP(F204,'Factors and Tables'!$A$112:$C$117,3,FALSE))</f>
        <v/>
      </c>
    </row>
    <row r="205" spans="4:11" x14ac:dyDescent="0.25">
      <c r="D205" s="69"/>
      <c r="E205" s="69"/>
      <c r="F205" s="69"/>
      <c r="G205" s="69"/>
      <c r="H205" s="10"/>
      <c r="I205" s="25" t="str">
        <f t="shared" si="2"/>
        <v/>
      </c>
      <c r="J205" s="77" t="str">
        <f>IF(H205="","",Fuel!H205*VLOOKUP(F205,'Factors and Tables'!$A$112:$B$117,2,FALSE))</f>
        <v/>
      </c>
      <c r="K205" s="46" t="str">
        <f>IF(OR(F205="",H205=""),"",J205*VLOOKUP(F205,'Factors and Tables'!$A$112:$C$117,3,FALSE))</f>
        <v/>
      </c>
    </row>
    <row r="206" spans="4:11" x14ac:dyDescent="0.25">
      <c r="D206" s="69"/>
      <c r="E206" s="69"/>
      <c r="F206" s="69"/>
      <c r="G206" s="69"/>
      <c r="H206" s="10"/>
      <c r="I206" s="25" t="str">
        <f t="shared" si="2"/>
        <v/>
      </c>
      <c r="J206" s="77" t="str">
        <f>IF(H206="","",Fuel!H206*VLOOKUP(F206,'Factors and Tables'!$A$112:$B$117,2,FALSE))</f>
        <v/>
      </c>
      <c r="K206" s="46" t="str">
        <f>IF(OR(F206="",H206=""),"",J206*VLOOKUP(F206,'Factors and Tables'!$A$112:$C$117,3,FALSE))</f>
        <v/>
      </c>
    </row>
    <row r="207" spans="4:11" x14ac:dyDescent="0.25">
      <c r="D207" s="69"/>
      <c r="E207" s="69"/>
      <c r="F207" s="69"/>
      <c r="G207" s="69"/>
      <c r="H207" s="10"/>
      <c r="I207" s="25" t="str">
        <f t="shared" si="2"/>
        <v/>
      </c>
      <c r="J207" s="77" t="str">
        <f>IF(H207="","",Fuel!H207*VLOOKUP(F207,'Factors and Tables'!$A$112:$B$117,2,FALSE))</f>
        <v/>
      </c>
      <c r="K207" s="46" t="str">
        <f>IF(OR(F207="",H207=""),"",J207*VLOOKUP(F207,'Factors and Tables'!$A$112:$C$117,3,FALSE))</f>
        <v/>
      </c>
    </row>
    <row r="208" spans="4:11" x14ac:dyDescent="0.25">
      <c r="D208" s="69"/>
      <c r="E208" s="69"/>
      <c r="F208" s="69"/>
      <c r="G208" s="69"/>
      <c r="H208" s="10"/>
      <c r="I208" s="25" t="str">
        <f t="shared" si="2"/>
        <v/>
      </c>
      <c r="J208" s="77" t="str">
        <f>IF(H208="","",Fuel!H208*VLOOKUP(F208,'Factors and Tables'!$A$112:$B$117,2,FALSE))</f>
        <v/>
      </c>
      <c r="K208" s="46" t="str">
        <f>IF(OR(F208="",H208=""),"",J208*VLOOKUP(F208,'Factors and Tables'!$A$112:$C$117,3,FALSE))</f>
        <v/>
      </c>
    </row>
    <row r="209" spans="4:11" x14ac:dyDescent="0.25">
      <c r="D209" s="69"/>
      <c r="E209" s="69"/>
      <c r="F209" s="69"/>
      <c r="G209" s="69"/>
      <c r="H209" s="10"/>
      <c r="I209" s="25" t="str">
        <f t="shared" si="2"/>
        <v/>
      </c>
      <c r="J209" s="77" t="str">
        <f>IF(H209="","",Fuel!H209*VLOOKUP(F209,'Factors and Tables'!$A$112:$B$117,2,FALSE))</f>
        <v/>
      </c>
      <c r="K209" s="46" t="str">
        <f>IF(OR(F209="",H209=""),"",J209*VLOOKUP(F209,'Factors and Tables'!$A$112:$C$117,3,FALSE))</f>
        <v/>
      </c>
    </row>
    <row r="210" spans="4:11" x14ac:dyDescent="0.25">
      <c r="D210" s="69"/>
      <c r="E210" s="69"/>
      <c r="F210" s="69"/>
      <c r="G210" s="69"/>
      <c r="H210" s="10"/>
      <c r="I210" s="25" t="str">
        <f t="shared" si="2"/>
        <v/>
      </c>
      <c r="J210" s="77" t="str">
        <f>IF(H210="","",Fuel!H210*VLOOKUP(F210,'Factors and Tables'!$A$112:$B$117,2,FALSE))</f>
        <v/>
      </c>
      <c r="K210" s="46" t="str">
        <f>IF(OR(F210="",H210=""),"",J210*VLOOKUP(F210,'Factors and Tables'!$A$112:$C$117,3,FALSE))</f>
        <v/>
      </c>
    </row>
    <row r="211" spans="4:11" x14ac:dyDescent="0.25">
      <c r="D211" s="69"/>
      <c r="E211" s="69"/>
      <c r="F211" s="69"/>
      <c r="G211" s="69"/>
      <c r="H211" s="10"/>
      <c r="I211" s="25" t="str">
        <f t="shared" si="2"/>
        <v/>
      </c>
      <c r="J211" s="77" t="str">
        <f>IF(H211="","",Fuel!H211*VLOOKUP(F211,'Factors and Tables'!$A$112:$B$117,2,FALSE))</f>
        <v/>
      </c>
      <c r="K211" s="46" t="str">
        <f>IF(OR(F211="",H211=""),"",J211*VLOOKUP(F211,'Factors and Tables'!$A$112:$C$117,3,FALSE))</f>
        <v/>
      </c>
    </row>
    <row r="212" spans="4:11" x14ac:dyDescent="0.25">
      <c r="D212" s="69"/>
      <c r="E212" s="69"/>
      <c r="F212" s="69"/>
      <c r="G212" s="69"/>
      <c r="H212" s="10"/>
      <c r="I212" s="25" t="str">
        <f t="shared" si="2"/>
        <v/>
      </c>
      <c r="J212" s="77" t="str">
        <f>IF(H212="","",Fuel!H212*VLOOKUP(F212,'Factors and Tables'!$A$112:$B$117,2,FALSE))</f>
        <v/>
      </c>
      <c r="K212" s="46" t="str">
        <f>IF(OR(F212="",H212=""),"",J212*VLOOKUP(F212,'Factors and Tables'!$A$112:$C$117,3,FALSE))</f>
        <v/>
      </c>
    </row>
    <row r="213" spans="4:11" x14ac:dyDescent="0.25">
      <c r="D213" s="69"/>
      <c r="E213" s="69"/>
      <c r="F213" s="69"/>
      <c r="G213" s="69"/>
      <c r="H213" s="10"/>
      <c r="I213" s="25" t="str">
        <f t="shared" si="2"/>
        <v/>
      </c>
      <c r="J213" s="77" t="str">
        <f>IF(H213="","",Fuel!H213*VLOOKUP(F213,'Factors and Tables'!$A$112:$B$117,2,FALSE))</f>
        <v/>
      </c>
      <c r="K213" s="46" t="str">
        <f>IF(OR(F213="",H213=""),"",J213*VLOOKUP(F213,'Factors and Tables'!$A$112:$C$117,3,FALSE))</f>
        <v/>
      </c>
    </row>
    <row r="214" spans="4:11" x14ac:dyDescent="0.25">
      <c r="D214" s="69"/>
      <c r="E214" s="69"/>
      <c r="F214" s="69"/>
      <c r="G214" s="69"/>
      <c r="H214" s="10"/>
      <c r="I214" s="25" t="str">
        <f t="shared" si="2"/>
        <v/>
      </c>
      <c r="J214" s="77" t="str">
        <f>IF(H214="","",Fuel!H214*VLOOKUP(F214,'Factors and Tables'!$A$112:$B$117,2,FALSE))</f>
        <v/>
      </c>
      <c r="K214" s="46" t="str">
        <f>IF(OR(F214="",H214=""),"",J214*VLOOKUP(F214,'Factors and Tables'!$A$112:$C$117,3,FALSE))</f>
        <v/>
      </c>
    </row>
    <row r="215" spans="4:11" x14ac:dyDescent="0.25">
      <c r="D215" s="69"/>
      <c r="E215" s="69"/>
      <c r="F215" s="69"/>
      <c r="G215" s="69"/>
      <c r="H215" s="10"/>
      <c r="I215" s="25" t="str">
        <f t="shared" si="2"/>
        <v/>
      </c>
      <c r="J215" s="77" t="str">
        <f>IF(H215="","",Fuel!H215*VLOOKUP(F215,'Factors and Tables'!$A$112:$B$117,2,FALSE))</f>
        <v/>
      </c>
      <c r="K215" s="46" t="str">
        <f>IF(OR(F215="",H215=""),"",J215*VLOOKUP(F215,'Factors and Tables'!$A$112:$C$117,3,FALSE))</f>
        <v/>
      </c>
    </row>
    <row r="216" spans="4:11" x14ac:dyDescent="0.25">
      <c r="D216" s="69"/>
      <c r="E216" s="69"/>
      <c r="F216" s="69"/>
      <c r="G216" s="69"/>
      <c r="H216" s="10"/>
      <c r="I216" s="25" t="str">
        <f t="shared" si="2"/>
        <v/>
      </c>
      <c r="J216" s="77" t="str">
        <f>IF(H216="","",Fuel!H216*VLOOKUP(F216,'Factors and Tables'!$A$112:$B$117,2,FALSE))</f>
        <v/>
      </c>
      <c r="K216" s="46" t="str">
        <f>IF(OR(F216="",H216=""),"",J216*VLOOKUP(F216,'Factors and Tables'!$A$112:$C$117,3,FALSE))</f>
        <v/>
      </c>
    </row>
    <row r="217" spans="4:11" x14ac:dyDescent="0.25">
      <c r="D217" s="69"/>
      <c r="E217" s="69"/>
      <c r="F217" s="69"/>
      <c r="G217" s="69"/>
      <c r="H217" s="10"/>
      <c r="I217" s="25" t="str">
        <f t="shared" si="2"/>
        <v/>
      </c>
      <c r="J217" s="77" t="str">
        <f>IF(H217="","",Fuel!H217*VLOOKUP(F217,'Factors and Tables'!$A$112:$B$117,2,FALSE))</f>
        <v/>
      </c>
      <c r="K217" s="46" t="str">
        <f>IF(OR(F217="",H217=""),"",J217*VLOOKUP(F217,'Factors and Tables'!$A$112:$C$117,3,FALSE))</f>
        <v/>
      </c>
    </row>
    <row r="218" spans="4:11" x14ac:dyDescent="0.25">
      <c r="D218" s="69"/>
      <c r="E218" s="69"/>
      <c r="F218" s="69"/>
      <c r="G218" s="69"/>
      <c r="H218" s="10"/>
      <c r="I218" s="25" t="str">
        <f t="shared" si="2"/>
        <v/>
      </c>
      <c r="J218" s="77" t="str">
        <f>IF(H218="","",Fuel!H218*VLOOKUP(F218,'Factors and Tables'!$A$112:$B$117,2,FALSE))</f>
        <v/>
      </c>
      <c r="K218" s="46" t="str">
        <f>IF(OR(F218="",H218=""),"",J218*VLOOKUP(F218,'Factors and Tables'!$A$112:$C$117,3,FALSE))</f>
        <v/>
      </c>
    </row>
    <row r="219" spans="4:11" x14ac:dyDescent="0.25">
      <c r="D219" s="69"/>
      <c r="E219" s="69"/>
      <c r="F219" s="69"/>
      <c r="G219" s="69"/>
      <c r="H219" s="10"/>
      <c r="I219" s="25" t="str">
        <f t="shared" si="2"/>
        <v/>
      </c>
      <c r="J219" s="77" t="str">
        <f>IF(H219="","",Fuel!H219*VLOOKUP(F219,'Factors and Tables'!$A$112:$B$117,2,FALSE))</f>
        <v/>
      </c>
      <c r="K219" s="46" t="str">
        <f>IF(OR(F219="",H219=""),"",J219*VLOOKUP(F219,'Factors and Tables'!$A$112:$C$117,3,FALSE))</f>
        <v/>
      </c>
    </row>
    <row r="220" spans="4:11" x14ac:dyDescent="0.25">
      <c r="D220" s="69"/>
      <c r="E220" s="69"/>
      <c r="F220" s="69"/>
      <c r="G220" s="69"/>
      <c r="H220" s="10"/>
      <c r="I220" s="25" t="str">
        <f t="shared" si="2"/>
        <v/>
      </c>
      <c r="J220" s="77" t="str">
        <f>IF(H220="","",Fuel!H220*VLOOKUP(F220,'Factors and Tables'!$A$112:$B$117,2,FALSE))</f>
        <v/>
      </c>
      <c r="K220" s="46" t="str">
        <f>IF(OR(F220="",H220=""),"",J220*VLOOKUP(F220,'Factors and Tables'!$A$112:$C$117,3,FALSE))</f>
        <v/>
      </c>
    </row>
    <row r="221" spans="4:11" x14ac:dyDescent="0.25">
      <c r="D221" s="69"/>
      <c r="E221" s="69"/>
      <c r="F221" s="69"/>
      <c r="G221" s="69"/>
      <c r="H221" s="10"/>
      <c r="I221" s="25" t="str">
        <f t="shared" si="2"/>
        <v/>
      </c>
      <c r="J221" s="77" t="str">
        <f>IF(H221="","",Fuel!H221*VLOOKUP(F221,'Factors and Tables'!$A$112:$B$117,2,FALSE))</f>
        <v/>
      </c>
      <c r="K221" s="46" t="str">
        <f>IF(OR(F221="",H221=""),"",J221*VLOOKUP(F221,'Factors and Tables'!$A$112:$C$117,3,FALSE))</f>
        <v/>
      </c>
    </row>
    <row r="222" spans="4:11" x14ac:dyDescent="0.25">
      <c r="D222" s="69"/>
      <c r="E222" s="69"/>
      <c r="F222" s="69"/>
      <c r="G222" s="69"/>
      <c r="H222" s="10"/>
      <c r="I222" s="25" t="str">
        <f t="shared" si="2"/>
        <v/>
      </c>
      <c r="J222" s="77" t="str">
        <f>IF(H222="","",Fuel!H222*VLOOKUP(F222,'Factors and Tables'!$A$112:$B$117,2,FALSE))</f>
        <v/>
      </c>
      <c r="K222" s="46" t="str">
        <f>IF(OR(F222="",H222=""),"",J222*VLOOKUP(F222,'Factors and Tables'!$A$112:$C$117,3,FALSE))</f>
        <v/>
      </c>
    </row>
    <row r="223" spans="4:11" x14ac:dyDescent="0.25">
      <c r="D223" s="69"/>
      <c r="E223" s="69"/>
      <c r="F223" s="69"/>
      <c r="G223" s="69"/>
      <c r="H223" s="10"/>
      <c r="I223" s="25" t="str">
        <f t="shared" si="2"/>
        <v/>
      </c>
      <c r="J223" s="77" t="str">
        <f>IF(H223="","",Fuel!H223*VLOOKUP(F223,'Factors and Tables'!$A$112:$B$117,2,FALSE))</f>
        <v/>
      </c>
      <c r="K223" s="46" t="str">
        <f>IF(OR(F223="",H223=""),"",J223*VLOOKUP(F223,'Factors and Tables'!$A$112:$C$117,3,FALSE))</f>
        <v/>
      </c>
    </row>
    <row r="224" spans="4:11" x14ac:dyDescent="0.25">
      <c r="D224" s="69"/>
      <c r="E224" s="69"/>
      <c r="F224" s="69"/>
      <c r="G224" s="69"/>
      <c r="H224" s="10"/>
      <c r="I224" s="25" t="str">
        <f t="shared" si="2"/>
        <v/>
      </c>
      <c r="J224" s="77" t="str">
        <f>IF(H224="","",Fuel!H224*VLOOKUP(F224,'Factors and Tables'!$A$112:$B$117,2,FALSE))</f>
        <v/>
      </c>
      <c r="K224" s="46" t="str">
        <f>IF(OR(F224="",H224=""),"",J224*VLOOKUP(F224,'Factors and Tables'!$A$112:$C$117,3,FALSE))</f>
        <v/>
      </c>
    </row>
    <row r="225" spans="4:11" x14ac:dyDescent="0.25">
      <c r="D225" s="69"/>
      <c r="E225" s="69"/>
      <c r="F225" s="69"/>
      <c r="G225" s="69"/>
      <c r="H225" s="10"/>
      <c r="I225" s="25" t="str">
        <f t="shared" si="2"/>
        <v/>
      </c>
      <c r="J225" s="77" t="str">
        <f>IF(H225="","",Fuel!H225*VLOOKUP(F225,'Factors and Tables'!$A$112:$B$117,2,FALSE))</f>
        <v/>
      </c>
      <c r="K225" s="46" t="str">
        <f>IF(OR(F225="",H225=""),"",J225*VLOOKUP(F225,'Factors and Tables'!$A$112:$C$117,3,FALSE))</f>
        <v/>
      </c>
    </row>
    <row r="226" spans="4:11" x14ac:dyDescent="0.25">
      <c r="D226" s="69"/>
      <c r="E226" s="69"/>
      <c r="F226" s="69"/>
      <c r="G226" s="69"/>
      <c r="H226" s="10"/>
      <c r="I226" s="25" t="str">
        <f t="shared" si="2"/>
        <v/>
      </c>
      <c r="J226" s="77" t="str">
        <f>IF(H226="","",Fuel!H226*VLOOKUP(F226,'Factors and Tables'!$A$112:$B$117,2,FALSE))</f>
        <v/>
      </c>
      <c r="K226" s="46" t="str">
        <f>IF(OR(F226="",H226=""),"",J226*VLOOKUP(F226,'Factors and Tables'!$A$112:$C$117,3,FALSE))</f>
        <v/>
      </c>
    </row>
    <row r="227" spans="4:11" x14ac:dyDescent="0.25">
      <c r="D227" s="69"/>
      <c r="E227" s="69"/>
      <c r="F227" s="69"/>
      <c r="G227" s="69"/>
      <c r="H227" s="10"/>
      <c r="I227" s="25" t="str">
        <f t="shared" si="2"/>
        <v/>
      </c>
      <c r="J227" s="77" t="str">
        <f>IF(H227="","",Fuel!H227*VLOOKUP(F227,'Factors and Tables'!$A$112:$B$117,2,FALSE))</f>
        <v/>
      </c>
      <c r="K227" s="46" t="str">
        <f>IF(OR(F227="",H227=""),"",J227*VLOOKUP(F227,'Factors and Tables'!$A$112:$C$117,3,FALSE))</f>
        <v/>
      </c>
    </row>
    <row r="228" spans="4:11" x14ac:dyDescent="0.25">
      <c r="D228" s="69"/>
      <c r="E228" s="69"/>
      <c r="F228" s="69"/>
      <c r="G228" s="69"/>
      <c r="H228" s="10"/>
      <c r="I228" s="25" t="str">
        <f t="shared" si="2"/>
        <v/>
      </c>
      <c r="J228" s="77" t="str">
        <f>IF(H228="","",Fuel!H228*VLOOKUP(F228,'Factors and Tables'!$A$112:$B$117,2,FALSE))</f>
        <v/>
      </c>
      <c r="K228" s="46" t="str">
        <f>IF(OR(F228="",H228=""),"",J228*VLOOKUP(F228,'Factors and Tables'!$A$112:$C$117,3,FALSE))</f>
        <v/>
      </c>
    </row>
    <row r="229" spans="4:11" x14ac:dyDescent="0.25">
      <c r="D229" s="69"/>
      <c r="E229" s="69"/>
      <c r="F229" s="69"/>
      <c r="G229" s="69"/>
      <c r="H229" s="10"/>
      <c r="I229" s="25" t="str">
        <f t="shared" si="2"/>
        <v/>
      </c>
      <c r="J229" s="77" t="str">
        <f>IF(H229="","",Fuel!H229*VLOOKUP(F229,'Factors and Tables'!$A$112:$B$117,2,FALSE))</f>
        <v/>
      </c>
      <c r="K229" s="46" t="str">
        <f>IF(OR(F229="",H229=""),"",J229*VLOOKUP(F229,'Factors and Tables'!$A$112:$C$117,3,FALSE))</f>
        <v/>
      </c>
    </row>
    <row r="230" spans="4:11" x14ac:dyDescent="0.25">
      <c r="D230" s="69"/>
      <c r="E230" s="69"/>
      <c r="F230" s="69"/>
      <c r="G230" s="69"/>
      <c r="H230" s="10"/>
      <c r="I230" s="25" t="str">
        <f t="shared" si="2"/>
        <v/>
      </c>
      <c r="J230" s="77" t="str">
        <f>IF(H230="","",Fuel!H230*VLOOKUP(F230,'Factors and Tables'!$A$112:$B$117,2,FALSE))</f>
        <v/>
      </c>
      <c r="K230" s="46" t="str">
        <f>IF(OR(F230="",H230=""),"",J230*VLOOKUP(F230,'Factors and Tables'!$A$112:$C$117,3,FALSE))</f>
        <v/>
      </c>
    </row>
    <row r="231" spans="4:11" x14ac:dyDescent="0.25">
      <c r="D231" s="69"/>
      <c r="E231" s="69"/>
      <c r="F231" s="69"/>
      <c r="G231" s="69"/>
      <c r="H231" s="10"/>
      <c r="I231" s="25" t="str">
        <f t="shared" si="2"/>
        <v/>
      </c>
      <c r="J231" s="77" t="str">
        <f>IF(H231="","",Fuel!H231*VLOOKUP(F231,'Factors and Tables'!$A$112:$B$117,2,FALSE))</f>
        <v/>
      </c>
      <c r="K231" s="46" t="str">
        <f>IF(OR(F231="",H231=""),"",J231*VLOOKUP(F231,'Factors and Tables'!$A$112:$C$117,3,FALSE))</f>
        <v/>
      </c>
    </row>
    <row r="232" spans="4:11" x14ac:dyDescent="0.25">
      <c r="D232" s="69"/>
      <c r="E232" s="69"/>
      <c r="F232" s="69"/>
      <c r="G232" s="69"/>
      <c r="H232" s="10"/>
      <c r="I232" s="25" t="str">
        <f t="shared" si="2"/>
        <v/>
      </c>
      <c r="J232" s="77" t="str">
        <f>IF(H232="","",Fuel!H232*VLOOKUP(F232,'Factors and Tables'!$A$112:$B$117,2,FALSE))</f>
        <v/>
      </c>
      <c r="K232" s="46" t="str">
        <f>IF(OR(F232="",H232=""),"",J232*VLOOKUP(F232,'Factors and Tables'!$A$112:$C$117,3,FALSE))</f>
        <v/>
      </c>
    </row>
    <row r="233" spans="4:11" x14ac:dyDescent="0.25">
      <c r="D233" s="69"/>
      <c r="E233" s="69"/>
      <c r="F233" s="69"/>
      <c r="G233" s="69"/>
      <c r="H233" s="10"/>
      <c r="I233" s="25" t="str">
        <f t="shared" si="2"/>
        <v/>
      </c>
      <c r="J233" s="77" t="str">
        <f>IF(H233="","",Fuel!H233*VLOOKUP(F233,'Factors and Tables'!$A$112:$B$117,2,FALSE))</f>
        <v/>
      </c>
      <c r="K233" s="46" t="str">
        <f>IF(OR(F233="",H233=""),"",J233*VLOOKUP(F233,'Factors and Tables'!$A$112:$C$117,3,FALSE))</f>
        <v/>
      </c>
    </row>
    <row r="234" spans="4:11" x14ac:dyDescent="0.25">
      <c r="D234" s="69"/>
      <c r="E234" s="69"/>
      <c r="F234" s="69"/>
      <c r="G234" s="69"/>
      <c r="H234" s="10"/>
      <c r="I234" s="25" t="str">
        <f t="shared" si="2"/>
        <v/>
      </c>
      <c r="J234" s="77" t="str">
        <f>IF(H234="","",Fuel!H234*VLOOKUP(F234,'Factors and Tables'!$A$112:$B$117,2,FALSE))</f>
        <v/>
      </c>
      <c r="K234" s="46" t="str">
        <f>IF(OR(F234="",H234=""),"",J234*VLOOKUP(F234,'Factors and Tables'!$A$112:$C$117,3,FALSE))</f>
        <v/>
      </c>
    </row>
    <row r="235" spans="4:11" x14ac:dyDescent="0.25">
      <c r="D235" s="69"/>
      <c r="E235" s="69"/>
      <c r="F235" s="69"/>
      <c r="G235" s="69"/>
      <c r="H235" s="10"/>
      <c r="I235" s="25" t="str">
        <f t="shared" si="2"/>
        <v/>
      </c>
      <c r="J235" s="77" t="str">
        <f>IF(H235="","",Fuel!H235*VLOOKUP(F235,'Factors and Tables'!$A$112:$B$117,2,FALSE))</f>
        <v/>
      </c>
      <c r="K235" s="46" t="str">
        <f>IF(OR(F235="",H235=""),"",J235*VLOOKUP(F235,'Factors and Tables'!$A$112:$C$117,3,FALSE))</f>
        <v/>
      </c>
    </row>
    <row r="236" spans="4:11" x14ac:dyDescent="0.25">
      <c r="D236" s="69"/>
      <c r="E236" s="69"/>
      <c r="F236" s="69"/>
      <c r="G236" s="69"/>
      <c r="H236" s="10"/>
      <c r="I236" s="25" t="str">
        <f t="shared" si="2"/>
        <v/>
      </c>
      <c r="J236" s="77" t="str">
        <f>IF(H236="","",Fuel!H236*VLOOKUP(F236,'Factors and Tables'!$A$112:$B$117,2,FALSE))</f>
        <v/>
      </c>
      <c r="K236" s="46" t="str">
        <f>IF(OR(F236="",H236=""),"",J236*VLOOKUP(F236,'Factors and Tables'!$A$112:$C$117,3,FALSE))</f>
        <v/>
      </c>
    </row>
    <row r="237" spans="4:11" x14ac:dyDescent="0.25">
      <c r="D237" s="69"/>
      <c r="E237" s="69"/>
      <c r="F237" s="69"/>
      <c r="G237" s="69"/>
      <c r="H237" s="10"/>
      <c r="I237" s="25" t="str">
        <f t="shared" ref="I237:I280" si="3">IF(OR(F237="Diesel",F237="Petrol",F237="E10",F237="LPG"),"litres",IF(F237="CNG","GJ",IF(F237="Electricity","kWh","")))</f>
        <v/>
      </c>
      <c r="J237" s="77" t="str">
        <f>IF(H237="","",Fuel!H237*VLOOKUP(F237,'Factors and Tables'!$A$112:$B$117,2,FALSE))</f>
        <v/>
      </c>
      <c r="K237" s="46" t="str">
        <f>IF(OR(F237="",H237=""),"",J237*VLOOKUP(F237,'Factors and Tables'!$A$112:$C$117,3,FALSE))</f>
        <v/>
      </c>
    </row>
    <row r="238" spans="4:11" x14ac:dyDescent="0.25">
      <c r="D238" s="69"/>
      <c r="E238" s="69"/>
      <c r="F238" s="69"/>
      <c r="G238" s="69"/>
      <c r="H238" s="10"/>
      <c r="I238" s="25" t="str">
        <f t="shared" si="3"/>
        <v/>
      </c>
      <c r="J238" s="77" t="str">
        <f>IF(H238="","",Fuel!H238*VLOOKUP(F238,'Factors and Tables'!$A$112:$B$117,2,FALSE))</f>
        <v/>
      </c>
      <c r="K238" s="46" t="str">
        <f>IF(OR(F238="",H238=""),"",J238*VLOOKUP(F238,'Factors and Tables'!$A$112:$C$117,3,FALSE))</f>
        <v/>
      </c>
    </row>
    <row r="239" spans="4:11" x14ac:dyDescent="0.25">
      <c r="D239" s="69"/>
      <c r="E239" s="69"/>
      <c r="F239" s="69"/>
      <c r="G239" s="69"/>
      <c r="H239" s="10"/>
      <c r="I239" s="25" t="str">
        <f t="shared" si="3"/>
        <v/>
      </c>
      <c r="J239" s="77" t="str">
        <f>IF(H239="","",Fuel!H239*VLOOKUP(F239,'Factors and Tables'!$A$112:$B$117,2,FALSE))</f>
        <v/>
      </c>
      <c r="K239" s="46" t="str">
        <f>IF(OR(F239="",H239=""),"",J239*VLOOKUP(F239,'Factors and Tables'!$A$112:$C$117,3,FALSE))</f>
        <v/>
      </c>
    </row>
    <row r="240" spans="4:11" x14ac:dyDescent="0.25">
      <c r="D240" s="69"/>
      <c r="E240" s="69"/>
      <c r="F240" s="69"/>
      <c r="G240" s="69"/>
      <c r="H240" s="10"/>
      <c r="I240" s="25" t="str">
        <f t="shared" si="3"/>
        <v/>
      </c>
      <c r="J240" s="77" t="str">
        <f>IF(H240="","",Fuel!H240*VLOOKUP(F240,'Factors and Tables'!$A$112:$B$117,2,FALSE))</f>
        <v/>
      </c>
      <c r="K240" s="46" t="str">
        <f>IF(OR(F240="",H240=""),"",J240*VLOOKUP(F240,'Factors and Tables'!$A$112:$C$117,3,FALSE))</f>
        <v/>
      </c>
    </row>
    <row r="241" spans="4:11" x14ac:dyDescent="0.25">
      <c r="D241" s="69"/>
      <c r="E241" s="69"/>
      <c r="F241" s="69"/>
      <c r="G241" s="69"/>
      <c r="H241" s="10"/>
      <c r="I241" s="25" t="str">
        <f t="shared" si="3"/>
        <v/>
      </c>
      <c r="J241" s="77" t="str">
        <f>IF(H241="","",Fuel!H241*VLOOKUP(F241,'Factors and Tables'!$A$112:$B$117,2,FALSE))</f>
        <v/>
      </c>
      <c r="K241" s="46" t="str">
        <f>IF(OR(F241="",H241=""),"",J241*VLOOKUP(F241,'Factors and Tables'!$A$112:$C$117,3,FALSE))</f>
        <v/>
      </c>
    </row>
    <row r="242" spans="4:11" x14ac:dyDescent="0.25">
      <c r="D242" s="69"/>
      <c r="E242" s="69"/>
      <c r="F242" s="69"/>
      <c r="G242" s="69"/>
      <c r="H242" s="10"/>
      <c r="I242" s="25" t="str">
        <f t="shared" si="3"/>
        <v/>
      </c>
      <c r="J242" s="77" t="str">
        <f>IF(H242="","",Fuel!H242*VLOOKUP(F242,'Factors and Tables'!$A$112:$B$117,2,FALSE))</f>
        <v/>
      </c>
      <c r="K242" s="46" t="str">
        <f>IF(OR(F242="",H242=""),"",J242*VLOOKUP(F242,'Factors and Tables'!$A$112:$C$117,3,FALSE))</f>
        <v/>
      </c>
    </row>
    <row r="243" spans="4:11" x14ac:dyDescent="0.25">
      <c r="D243" s="69"/>
      <c r="E243" s="69"/>
      <c r="F243" s="69" t="s">
        <v>332</v>
      </c>
      <c r="G243" s="69"/>
      <c r="H243" s="10"/>
      <c r="I243" s="25" t="str">
        <f t="shared" si="3"/>
        <v/>
      </c>
      <c r="J243" s="77" t="str">
        <f>IF(H243="","",Fuel!H243*VLOOKUP(F243,'Factors and Tables'!$A$112:$B$117,2,FALSE))</f>
        <v/>
      </c>
      <c r="K243" s="46" t="str">
        <f>IF(OR(F243="",H243=""),"",J243*VLOOKUP(F243,'Factors and Tables'!$A$112:$C$117,3,FALSE))</f>
        <v/>
      </c>
    </row>
    <row r="244" spans="4:11" x14ac:dyDescent="0.25">
      <c r="D244" s="69"/>
      <c r="E244" s="69"/>
      <c r="F244" s="69" t="s">
        <v>332</v>
      </c>
      <c r="G244" s="69"/>
      <c r="H244" s="10"/>
      <c r="I244" s="25" t="str">
        <f t="shared" si="3"/>
        <v/>
      </c>
      <c r="J244" s="77" t="str">
        <f>IF(H244="","",Fuel!H244*VLOOKUP(F244,'Factors and Tables'!$A$112:$B$117,2,FALSE))</f>
        <v/>
      </c>
      <c r="K244" s="46" t="str">
        <f>IF(OR(F244="",H244=""),"",J244*VLOOKUP(F244,'Factors and Tables'!$A$112:$C$117,3,FALSE))</f>
        <v/>
      </c>
    </row>
    <row r="245" spans="4:11" x14ac:dyDescent="0.25">
      <c r="D245" s="69"/>
      <c r="E245" s="69"/>
      <c r="F245" s="69" t="s">
        <v>332</v>
      </c>
      <c r="G245" s="69"/>
      <c r="H245" s="10"/>
      <c r="I245" s="25" t="str">
        <f t="shared" si="3"/>
        <v/>
      </c>
      <c r="J245" s="77" t="str">
        <f>IF(H245="","",Fuel!H245*VLOOKUP(F245,'Factors and Tables'!$A$112:$B$117,2,FALSE))</f>
        <v/>
      </c>
      <c r="K245" s="46" t="str">
        <f>IF(OR(F245="",H245=""),"",J245*VLOOKUP(F245,'Factors and Tables'!$A$112:$C$117,3,FALSE))</f>
        <v/>
      </c>
    </row>
    <row r="246" spans="4:11" x14ac:dyDescent="0.25">
      <c r="D246" s="69"/>
      <c r="E246" s="69"/>
      <c r="F246" s="69" t="s">
        <v>332</v>
      </c>
      <c r="G246" s="69"/>
      <c r="H246" s="10"/>
      <c r="I246" s="25" t="str">
        <f t="shared" si="3"/>
        <v/>
      </c>
      <c r="J246" s="77" t="str">
        <f>IF(H246="","",Fuel!H246*VLOOKUP(F246,'Factors and Tables'!$A$112:$B$117,2,FALSE))</f>
        <v/>
      </c>
      <c r="K246" s="46" t="str">
        <f>IF(OR(F246="",H246=""),"",J246*VLOOKUP(F246,'Factors and Tables'!$A$112:$C$117,3,FALSE))</f>
        <v/>
      </c>
    </row>
    <row r="247" spans="4:11" x14ac:dyDescent="0.25">
      <c r="D247" s="69"/>
      <c r="E247" s="69"/>
      <c r="F247" s="69" t="s">
        <v>332</v>
      </c>
      <c r="G247" s="69"/>
      <c r="H247" s="10"/>
      <c r="I247" s="25" t="str">
        <f t="shared" si="3"/>
        <v/>
      </c>
      <c r="J247" s="77" t="str">
        <f>IF(H247="","",Fuel!H247*VLOOKUP(F247,'Factors and Tables'!$A$112:$B$117,2,FALSE))</f>
        <v/>
      </c>
      <c r="K247" s="46" t="str">
        <f>IF(OR(F247="",H247=""),"",J247*VLOOKUP(F247,'Factors and Tables'!$A$112:$C$117,3,FALSE))</f>
        <v/>
      </c>
    </row>
    <row r="248" spans="4:11" x14ac:dyDescent="0.25">
      <c r="D248" s="69"/>
      <c r="E248" s="69"/>
      <c r="F248" s="69" t="s">
        <v>332</v>
      </c>
      <c r="G248" s="69"/>
      <c r="H248" s="10"/>
      <c r="I248" s="25" t="str">
        <f t="shared" si="3"/>
        <v/>
      </c>
      <c r="J248" s="77" t="str">
        <f>IF(H248="","",Fuel!H248*VLOOKUP(F248,'Factors and Tables'!$A$112:$B$117,2,FALSE))</f>
        <v/>
      </c>
      <c r="K248" s="46" t="str">
        <f>IF(OR(F248="",H248=""),"",J248*VLOOKUP(F248,'Factors and Tables'!$A$112:$C$117,3,FALSE))</f>
        <v/>
      </c>
    </row>
    <row r="249" spans="4:11" x14ac:dyDescent="0.25">
      <c r="D249" s="69"/>
      <c r="E249" s="69"/>
      <c r="F249" s="69" t="s">
        <v>332</v>
      </c>
      <c r="G249" s="69"/>
      <c r="H249" s="10"/>
      <c r="I249" s="25" t="str">
        <f t="shared" si="3"/>
        <v/>
      </c>
      <c r="J249" s="77" t="str">
        <f>IF(H249="","",Fuel!H249*VLOOKUP(F249,'Factors and Tables'!$A$112:$B$117,2,FALSE))</f>
        <v/>
      </c>
      <c r="K249" s="46" t="str">
        <f>IF(OR(F249="",H249=""),"",J249*VLOOKUP(F249,'Factors and Tables'!$A$112:$C$117,3,FALSE))</f>
        <v/>
      </c>
    </row>
    <row r="250" spans="4:11" x14ac:dyDescent="0.25">
      <c r="D250" s="69"/>
      <c r="E250" s="69"/>
      <c r="F250" s="69" t="s">
        <v>332</v>
      </c>
      <c r="G250" s="69"/>
      <c r="H250" s="10"/>
      <c r="I250" s="25" t="str">
        <f t="shared" si="3"/>
        <v/>
      </c>
      <c r="J250" s="77" t="str">
        <f>IF(H250="","",Fuel!H250*VLOOKUP(F250,'Factors and Tables'!$A$112:$B$117,2,FALSE))</f>
        <v/>
      </c>
      <c r="K250" s="46" t="str">
        <f>IF(OR(F250="",H250=""),"",J250*VLOOKUP(F250,'Factors and Tables'!$A$112:$C$117,3,FALSE))</f>
        <v/>
      </c>
    </row>
    <row r="251" spans="4:11" x14ac:dyDescent="0.25">
      <c r="D251" s="69"/>
      <c r="E251" s="69"/>
      <c r="F251" s="69" t="s">
        <v>332</v>
      </c>
      <c r="G251" s="69"/>
      <c r="H251" s="10"/>
      <c r="I251" s="25" t="str">
        <f t="shared" si="3"/>
        <v/>
      </c>
      <c r="J251" s="77" t="str">
        <f>IF(H251="","",Fuel!H251*VLOOKUP(F251,'Factors and Tables'!$A$112:$B$117,2,FALSE))</f>
        <v/>
      </c>
      <c r="K251" s="46" t="str">
        <f>IF(OR(F251="",H251=""),"",J251*VLOOKUP(F251,'Factors and Tables'!$A$112:$C$117,3,FALSE))</f>
        <v/>
      </c>
    </row>
    <row r="252" spans="4:11" x14ac:dyDescent="0.25">
      <c r="D252" s="69"/>
      <c r="E252" s="69"/>
      <c r="F252" s="69" t="s">
        <v>332</v>
      </c>
      <c r="G252" s="69"/>
      <c r="H252" s="10"/>
      <c r="I252" s="25" t="str">
        <f t="shared" si="3"/>
        <v/>
      </c>
      <c r="J252" s="77" t="str">
        <f>IF(H252="","",Fuel!H252*VLOOKUP(F252,'Factors and Tables'!$A$112:$B$117,2,FALSE))</f>
        <v/>
      </c>
      <c r="K252" s="46" t="str">
        <f>IF(OR(F252="",H252=""),"",J252*VLOOKUP(F252,'Factors and Tables'!$A$112:$C$117,3,FALSE))</f>
        <v/>
      </c>
    </row>
    <row r="253" spans="4:11" x14ac:dyDescent="0.25">
      <c r="D253" s="69"/>
      <c r="E253" s="69"/>
      <c r="F253" s="69" t="s">
        <v>332</v>
      </c>
      <c r="G253" s="69"/>
      <c r="H253" s="10"/>
      <c r="I253" s="25" t="str">
        <f t="shared" si="3"/>
        <v/>
      </c>
      <c r="J253" s="77" t="str">
        <f>IF(H253="","",Fuel!H253*VLOOKUP(F253,'Factors and Tables'!$A$112:$B$117,2,FALSE))</f>
        <v/>
      </c>
      <c r="K253" s="46" t="str">
        <f>IF(OR(F253="",H253=""),"",J253*VLOOKUP(F253,'Factors and Tables'!$A$112:$C$117,3,FALSE))</f>
        <v/>
      </c>
    </row>
    <row r="254" spans="4:11" x14ac:dyDescent="0.25">
      <c r="D254" s="69"/>
      <c r="E254" s="69"/>
      <c r="F254" s="69" t="s">
        <v>332</v>
      </c>
      <c r="G254" s="69"/>
      <c r="H254" s="10"/>
      <c r="I254" s="25" t="str">
        <f t="shared" si="3"/>
        <v/>
      </c>
      <c r="J254" s="77" t="str">
        <f>IF(H254="","",Fuel!H254*VLOOKUP(F254,'Factors and Tables'!$A$112:$B$117,2,FALSE))</f>
        <v/>
      </c>
      <c r="K254" s="46" t="str">
        <f>IF(OR(F254="",H254=""),"",J254*VLOOKUP(F254,'Factors and Tables'!$A$112:$C$117,3,FALSE))</f>
        <v/>
      </c>
    </row>
    <row r="255" spans="4:11" x14ac:dyDescent="0.25">
      <c r="D255" s="69"/>
      <c r="E255" s="69"/>
      <c r="F255" s="69" t="s">
        <v>332</v>
      </c>
      <c r="G255" s="69"/>
      <c r="H255" s="10"/>
      <c r="I255" s="25" t="str">
        <f t="shared" si="3"/>
        <v/>
      </c>
      <c r="J255" s="77" t="str">
        <f>IF(H255="","",Fuel!H255*VLOOKUP(F255,'Factors and Tables'!$A$112:$B$117,2,FALSE))</f>
        <v/>
      </c>
      <c r="K255" s="46" t="str">
        <f>IF(OR(F255="",H255=""),"",J255*VLOOKUP(F255,'Factors and Tables'!$A$112:$C$117,3,FALSE))</f>
        <v/>
      </c>
    </row>
    <row r="256" spans="4:11" x14ac:dyDescent="0.25">
      <c r="D256" s="69"/>
      <c r="E256" s="69"/>
      <c r="F256" s="69" t="s">
        <v>332</v>
      </c>
      <c r="G256" s="69"/>
      <c r="H256" s="10"/>
      <c r="I256" s="25" t="str">
        <f t="shared" si="3"/>
        <v/>
      </c>
      <c r="J256" s="77" t="str">
        <f>IF(H256="","",Fuel!H256*VLOOKUP(F256,'Factors and Tables'!$A$112:$B$117,2,FALSE))</f>
        <v/>
      </c>
      <c r="K256" s="46" t="str">
        <f>IF(OR(F256="",H256=""),"",J256*VLOOKUP(F256,'Factors and Tables'!$A$112:$C$117,3,FALSE))</f>
        <v/>
      </c>
    </row>
    <row r="257" spans="4:11" x14ac:dyDescent="0.25">
      <c r="D257" s="69"/>
      <c r="E257" s="69"/>
      <c r="F257" s="69" t="s">
        <v>332</v>
      </c>
      <c r="G257" s="69"/>
      <c r="H257" s="10"/>
      <c r="I257" s="25" t="str">
        <f t="shared" si="3"/>
        <v/>
      </c>
      <c r="J257" s="77" t="str">
        <f>IF(H257="","",Fuel!H257*VLOOKUP(F257,'Factors and Tables'!$A$112:$B$117,2,FALSE))</f>
        <v/>
      </c>
      <c r="K257" s="46" t="str">
        <f>IF(OR(F257="",H257=""),"",J257*VLOOKUP(F257,'Factors and Tables'!$A$112:$C$117,3,FALSE))</f>
        <v/>
      </c>
    </row>
    <row r="258" spans="4:11" x14ac:dyDescent="0.25">
      <c r="D258" s="69"/>
      <c r="E258" s="69"/>
      <c r="F258" s="69" t="s">
        <v>332</v>
      </c>
      <c r="G258" s="69"/>
      <c r="H258" s="10"/>
      <c r="I258" s="25" t="str">
        <f t="shared" si="3"/>
        <v/>
      </c>
      <c r="J258" s="77" t="str">
        <f>IF(H258="","",Fuel!H258*VLOOKUP(F258,'Factors and Tables'!$A$112:$B$117,2,FALSE))</f>
        <v/>
      </c>
      <c r="K258" s="46" t="str">
        <f>IF(OR(F258="",H258=""),"",J258*VLOOKUP(F258,'Factors and Tables'!$A$112:$C$117,3,FALSE))</f>
        <v/>
      </c>
    </row>
    <row r="259" spans="4:11" x14ac:dyDescent="0.25">
      <c r="D259" s="69"/>
      <c r="E259" s="69"/>
      <c r="F259" s="69" t="s">
        <v>332</v>
      </c>
      <c r="G259" s="69"/>
      <c r="H259" s="10"/>
      <c r="I259" s="25" t="str">
        <f t="shared" si="3"/>
        <v/>
      </c>
      <c r="J259" s="77" t="str">
        <f>IF(H259="","",Fuel!H259*VLOOKUP(F259,'Factors and Tables'!$A$112:$B$117,2,FALSE))</f>
        <v/>
      </c>
      <c r="K259" s="46" t="str">
        <f>IF(OR(F259="",H259=""),"",J259*VLOOKUP(F259,'Factors and Tables'!$A$112:$C$117,3,FALSE))</f>
        <v/>
      </c>
    </row>
    <row r="260" spans="4:11" x14ac:dyDescent="0.25">
      <c r="D260" s="69"/>
      <c r="E260" s="69"/>
      <c r="F260" s="69" t="s">
        <v>332</v>
      </c>
      <c r="G260" s="69"/>
      <c r="H260" s="10"/>
      <c r="I260" s="25" t="str">
        <f t="shared" si="3"/>
        <v/>
      </c>
      <c r="J260" s="77" t="str">
        <f>IF(H260="","",Fuel!H260*VLOOKUP(F260,'Factors and Tables'!$A$112:$B$117,2,FALSE))</f>
        <v/>
      </c>
      <c r="K260" s="46" t="str">
        <f>IF(OR(F260="",H260=""),"",J260*VLOOKUP(F260,'Factors and Tables'!$A$112:$C$117,3,FALSE))</f>
        <v/>
      </c>
    </row>
    <row r="261" spans="4:11" x14ac:dyDescent="0.25">
      <c r="D261" s="69"/>
      <c r="E261" s="69"/>
      <c r="F261" s="69" t="s">
        <v>332</v>
      </c>
      <c r="G261" s="69"/>
      <c r="H261" s="10"/>
      <c r="I261" s="25" t="str">
        <f t="shared" si="3"/>
        <v/>
      </c>
      <c r="J261" s="77" t="str">
        <f>IF(H261="","",Fuel!H261*VLOOKUP(F261,'Factors and Tables'!$A$112:$B$117,2,FALSE))</f>
        <v/>
      </c>
      <c r="K261" s="46" t="str">
        <f>IF(OR(F261="",H261=""),"",J261*VLOOKUP(F261,'Factors and Tables'!$A$112:$C$117,3,FALSE))</f>
        <v/>
      </c>
    </row>
    <row r="262" spans="4:11" x14ac:dyDescent="0.25">
      <c r="D262" s="69"/>
      <c r="E262" s="69"/>
      <c r="F262" s="69" t="s">
        <v>332</v>
      </c>
      <c r="G262" s="69"/>
      <c r="H262" s="10"/>
      <c r="I262" s="25" t="str">
        <f t="shared" si="3"/>
        <v/>
      </c>
      <c r="J262" s="77" t="str">
        <f>IF(H262="","",Fuel!H262*VLOOKUP(F262,'Factors and Tables'!$A$112:$B$117,2,FALSE))</f>
        <v/>
      </c>
      <c r="K262" s="46" t="str">
        <f>IF(OR(F262="",H262=""),"",J262*VLOOKUP(F262,'Factors and Tables'!$A$112:$C$117,3,FALSE))</f>
        <v/>
      </c>
    </row>
    <row r="263" spans="4:11" x14ac:dyDescent="0.25">
      <c r="D263" s="69"/>
      <c r="E263" s="69"/>
      <c r="F263" s="69" t="s">
        <v>332</v>
      </c>
      <c r="G263" s="69"/>
      <c r="H263" s="10"/>
      <c r="I263" s="25" t="str">
        <f t="shared" si="3"/>
        <v/>
      </c>
      <c r="J263" s="77" t="str">
        <f>IF(H263="","",Fuel!H263*VLOOKUP(F263,'Factors and Tables'!$A$112:$B$117,2,FALSE))</f>
        <v/>
      </c>
      <c r="K263" s="46" t="str">
        <f>IF(OR(F263="",H263=""),"",J263*VLOOKUP(F263,'Factors and Tables'!$A$112:$C$117,3,FALSE))</f>
        <v/>
      </c>
    </row>
    <row r="264" spans="4:11" x14ac:dyDescent="0.25">
      <c r="D264" s="69"/>
      <c r="E264" s="69"/>
      <c r="F264" s="69" t="s">
        <v>332</v>
      </c>
      <c r="G264" s="69"/>
      <c r="H264" s="10"/>
      <c r="I264" s="25" t="str">
        <f t="shared" si="3"/>
        <v/>
      </c>
      <c r="J264" s="77" t="str">
        <f>IF(H264="","",Fuel!H264*VLOOKUP(F264,'Factors and Tables'!$A$112:$B$117,2,FALSE))</f>
        <v/>
      </c>
      <c r="K264" s="46" t="str">
        <f>IF(OR(F264="",H264=""),"",J264*VLOOKUP(F264,'Factors and Tables'!$A$112:$C$117,3,FALSE))</f>
        <v/>
      </c>
    </row>
    <row r="265" spans="4:11" x14ac:dyDescent="0.25">
      <c r="D265" s="69"/>
      <c r="E265" s="69"/>
      <c r="F265" s="69" t="s">
        <v>332</v>
      </c>
      <c r="G265" s="69"/>
      <c r="H265" s="10"/>
      <c r="I265" s="25" t="str">
        <f t="shared" si="3"/>
        <v/>
      </c>
      <c r="J265" s="77" t="str">
        <f>IF(H265="","",Fuel!H265*VLOOKUP(F265,'Factors and Tables'!$A$112:$B$117,2,FALSE))</f>
        <v/>
      </c>
      <c r="K265" s="46" t="str">
        <f>IF(OR(F265="",H265=""),"",J265*VLOOKUP(F265,'Factors and Tables'!$A$112:$C$117,3,FALSE))</f>
        <v/>
      </c>
    </row>
    <row r="266" spans="4:11" x14ac:dyDescent="0.25">
      <c r="D266" s="69"/>
      <c r="E266" s="69"/>
      <c r="F266" s="69" t="s">
        <v>332</v>
      </c>
      <c r="G266" s="69"/>
      <c r="H266" s="10"/>
      <c r="I266" s="25" t="str">
        <f t="shared" si="3"/>
        <v/>
      </c>
      <c r="J266" s="77" t="str">
        <f>IF(H266="","",Fuel!H266*VLOOKUP(F266,'Factors and Tables'!$A$112:$B$117,2,FALSE))</f>
        <v/>
      </c>
      <c r="K266" s="46" t="str">
        <f>IF(OR(F266="",H266=""),"",J266*VLOOKUP(F266,'Factors and Tables'!$A$112:$C$117,3,FALSE))</f>
        <v/>
      </c>
    </row>
    <row r="267" spans="4:11" x14ac:dyDescent="0.25">
      <c r="D267" s="69"/>
      <c r="E267" s="69"/>
      <c r="F267" s="69" t="s">
        <v>332</v>
      </c>
      <c r="G267" s="69"/>
      <c r="H267" s="10"/>
      <c r="I267" s="25" t="str">
        <f t="shared" si="3"/>
        <v/>
      </c>
      <c r="J267" s="77" t="str">
        <f>IF(H267="","",Fuel!H267*VLOOKUP(F267,'Factors and Tables'!$A$112:$B$117,2,FALSE))</f>
        <v/>
      </c>
      <c r="K267" s="46" t="str">
        <f>IF(OR(F267="",H267=""),"",J267*VLOOKUP(F267,'Factors and Tables'!$A$112:$C$117,3,FALSE))</f>
        <v/>
      </c>
    </row>
    <row r="268" spans="4:11" x14ac:dyDescent="0.25">
      <c r="D268" s="69"/>
      <c r="E268" s="69"/>
      <c r="F268" s="69" t="s">
        <v>332</v>
      </c>
      <c r="G268" s="69"/>
      <c r="H268" s="10"/>
      <c r="I268" s="25" t="str">
        <f t="shared" si="3"/>
        <v/>
      </c>
      <c r="J268" s="77" t="str">
        <f>IF(H268="","",Fuel!H268*VLOOKUP(F268,'Factors and Tables'!$A$112:$B$117,2,FALSE))</f>
        <v/>
      </c>
      <c r="K268" s="46" t="str">
        <f>IF(OR(F268="",H268=""),"",J268*VLOOKUP(F268,'Factors and Tables'!$A$112:$C$117,3,FALSE))</f>
        <v/>
      </c>
    </row>
    <row r="269" spans="4:11" x14ac:dyDescent="0.25">
      <c r="D269" s="69"/>
      <c r="E269" s="69"/>
      <c r="F269" s="69" t="s">
        <v>332</v>
      </c>
      <c r="G269" s="69"/>
      <c r="H269" s="10"/>
      <c r="I269" s="25" t="str">
        <f t="shared" si="3"/>
        <v/>
      </c>
      <c r="J269" s="77" t="str">
        <f>IF(H269="","",Fuel!H269*VLOOKUP(F269,'Factors and Tables'!$A$112:$B$117,2,FALSE))</f>
        <v/>
      </c>
      <c r="K269" s="46" t="str">
        <f>IF(OR(F269="",H269=""),"",J269*VLOOKUP(F269,'Factors and Tables'!$A$112:$C$117,3,FALSE))</f>
        <v/>
      </c>
    </row>
    <row r="270" spans="4:11" x14ac:dyDescent="0.25">
      <c r="D270" s="69"/>
      <c r="E270" s="69"/>
      <c r="F270" s="69" t="s">
        <v>332</v>
      </c>
      <c r="G270" s="69"/>
      <c r="H270" s="10"/>
      <c r="I270" s="25" t="str">
        <f t="shared" si="3"/>
        <v/>
      </c>
      <c r="J270" s="77" t="str">
        <f>IF(H270="","",Fuel!H270*VLOOKUP(F270,'Factors and Tables'!$A$112:$B$117,2,FALSE))</f>
        <v/>
      </c>
      <c r="K270" s="46" t="str">
        <f>IF(OR(F270="",H270=""),"",J270*VLOOKUP(F270,'Factors and Tables'!$A$112:$C$117,3,FALSE))</f>
        <v/>
      </c>
    </row>
    <row r="271" spans="4:11" x14ac:dyDescent="0.25">
      <c r="D271" s="69"/>
      <c r="E271" s="69"/>
      <c r="F271" s="69" t="s">
        <v>332</v>
      </c>
      <c r="G271" s="69"/>
      <c r="H271" s="10"/>
      <c r="I271" s="25" t="str">
        <f t="shared" si="3"/>
        <v/>
      </c>
      <c r="J271" s="77" t="str">
        <f>IF(H271="","",Fuel!H271*VLOOKUP(F271,'Factors and Tables'!$A$112:$B$117,2,FALSE))</f>
        <v/>
      </c>
      <c r="K271" s="46" t="str">
        <f>IF(OR(F271="",H271=""),"",J271*VLOOKUP(F271,'Factors and Tables'!$A$112:$C$117,3,FALSE))</f>
        <v/>
      </c>
    </row>
    <row r="272" spans="4:11" x14ac:dyDescent="0.25">
      <c r="D272" s="69"/>
      <c r="E272" s="69"/>
      <c r="F272" s="69" t="s">
        <v>332</v>
      </c>
      <c r="G272" s="69"/>
      <c r="H272" s="10"/>
      <c r="I272" s="25" t="str">
        <f t="shared" si="3"/>
        <v/>
      </c>
      <c r="J272" s="77" t="str">
        <f>IF(H272="","",Fuel!H272*VLOOKUP(F272,'Factors and Tables'!$A$112:$B$117,2,FALSE))</f>
        <v/>
      </c>
      <c r="K272" s="46" t="str">
        <f>IF(OR(F272="",H272=""),"",J272*VLOOKUP(F272,'Factors and Tables'!$A$112:$C$117,3,FALSE))</f>
        <v/>
      </c>
    </row>
    <row r="273" spans="4:11" x14ac:dyDescent="0.25">
      <c r="D273" s="69"/>
      <c r="E273" s="69"/>
      <c r="F273" s="69" t="s">
        <v>332</v>
      </c>
      <c r="G273" s="69"/>
      <c r="H273" s="10"/>
      <c r="I273" s="25" t="str">
        <f t="shared" si="3"/>
        <v/>
      </c>
      <c r="J273" s="77" t="str">
        <f>IF(H273="","",Fuel!H273*VLOOKUP(F273,'Factors and Tables'!$A$112:$B$117,2,FALSE))</f>
        <v/>
      </c>
      <c r="K273" s="46" t="str">
        <f>IF(OR(F273="",H273=""),"",J273*VLOOKUP(F273,'Factors and Tables'!$A$112:$C$117,3,FALSE))</f>
        <v/>
      </c>
    </row>
    <row r="274" spans="4:11" x14ac:dyDescent="0.25">
      <c r="D274" s="69"/>
      <c r="E274" s="69"/>
      <c r="F274" s="69" t="s">
        <v>332</v>
      </c>
      <c r="G274" s="69"/>
      <c r="H274" s="10"/>
      <c r="I274" s="25" t="str">
        <f t="shared" si="3"/>
        <v/>
      </c>
      <c r="J274" s="77" t="str">
        <f>IF(H274="","",Fuel!H274*VLOOKUP(F274,'Factors and Tables'!$A$112:$B$117,2,FALSE))</f>
        <v/>
      </c>
      <c r="K274" s="46" t="str">
        <f>IF(OR(F274="",H274=""),"",J274*VLOOKUP(F274,'Factors and Tables'!$A$112:$C$117,3,FALSE))</f>
        <v/>
      </c>
    </row>
    <row r="275" spans="4:11" x14ac:dyDescent="0.25">
      <c r="D275" s="69"/>
      <c r="E275" s="69"/>
      <c r="F275" s="69" t="s">
        <v>332</v>
      </c>
      <c r="G275" s="69"/>
      <c r="H275" s="10"/>
      <c r="I275" s="25" t="str">
        <f t="shared" si="3"/>
        <v/>
      </c>
      <c r="J275" s="77" t="str">
        <f>IF(H275="","",Fuel!H275*VLOOKUP(F275,'Factors and Tables'!$A$112:$B$117,2,FALSE))</f>
        <v/>
      </c>
      <c r="K275" s="46" t="str">
        <f>IF(OR(F275="",H275=""),"",J275*VLOOKUP(F275,'Factors and Tables'!$A$112:$C$117,3,FALSE))</f>
        <v/>
      </c>
    </row>
    <row r="276" spans="4:11" x14ac:dyDescent="0.25">
      <c r="D276" s="69"/>
      <c r="E276" s="69"/>
      <c r="F276" s="69" t="s">
        <v>332</v>
      </c>
      <c r="G276" s="69"/>
      <c r="H276" s="10"/>
      <c r="I276" s="25" t="str">
        <f t="shared" si="3"/>
        <v/>
      </c>
      <c r="J276" s="77" t="str">
        <f>IF(H276="","",Fuel!H276*VLOOKUP(F276,'Factors and Tables'!$A$112:$B$117,2,FALSE))</f>
        <v/>
      </c>
      <c r="K276" s="46" t="str">
        <f>IF(OR(F276="",H276=""),"",J276*VLOOKUP(F276,'Factors and Tables'!$A$112:$C$117,3,FALSE))</f>
        <v/>
      </c>
    </row>
    <row r="277" spans="4:11" x14ac:dyDescent="0.25">
      <c r="D277" s="69"/>
      <c r="E277" s="69"/>
      <c r="F277" s="69" t="s">
        <v>332</v>
      </c>
      <c r="G277" s="69"/>
      <c r="H277" s="10"/>
      <c r="I277" s="25" t="str">
        <f t="shared" si="3"/>
        <v/>
      </c>
      <c r="J277" s="77" t="str">
        <f>IF(H277="","",Fuel!H277*VLOOKUP(F277,'Factors and Tables'!$A$112:$B$117,2,FALSE))</f>
        <v/>
      </c>
      <c r="K277" s="46" t="str">
        <f>IF(OR(F277="",H277=""),"",J277*VLOOKUP(F277,'Factors and Tables'!$A$112:$C$117,3,FALSE))</f>
        <v/>
      </c>
    </row>
    <row r="278" spans="4:11" x14ac:dyDescent="0.25">
      <c r="D278" s="69"/>
      <c r="E278" s="69"/>
      <c r="F278" s="69" t="s">
        <v>332</v>
      </c>
      <c r="G278" s="69"/>
      <c r="H278" s="10"/>
      <c r="I278" s="25" t="str">
        <f t="shared" si="3"/>
        <v/>
      </c>
      <c r="J278" s="77" t="str">
        <f>IF(H278="","",Fuel!H278*VLOOKUP(F278,'Factors and Tables'!$A$112:$B$117,2,FALSE))</f>
        <v/>
      </c>
      <c r="K278" s="46" t="str">
        <f>IF(OR(F278="",H278=""),"",J278*VLOOKUP(F278,'Factors and Tables'!$A$112:$C$117,3,FALSE))</f>
        <v/>
      </c>
    </row>
    <row r="279" spans="4:11" x14ac:dyDescent="0.25">
      <c r="D279" s="69"/>
      <c r="E279" s="69"/>
      <c r="F279" s="69" t="s">
        <v>332</v>
      </c>
      <c r="G279" s="69"/>
      <c r="H279" s="10"/>
      <c r="I279" s="25" t="str">
        <f t="shared" si="3"/>
        <v/>
      </c>
      <c r="J279" s="77" t="str">
        <f>IF(H279="","",Fuel!H279*VLOOKUP(F279,'Factors and Tables'!$A$112:$B$117,2,FALSE))</f>
        <v/>
      </c>
      <c r="K279" s="46" t="str">
        <f>IF(OR(F279="",H279=""),"",J279*VLOOKUP(F279,'Factors and Tables'!$A$112:$C$117,3,FALSE))</f>
        <v/>
      </c>
    </row>
    <row r="280" spans="4:11" x14ac:dyDescent="0.25">
      <c r="D280" s="69"/>
      <c r="E280" s="69"/>
      <c r="F280" s="69" t="s">
        <v>332</v>
      </c>
      <c r="G280" s="69"/>
      <c r="H280" s="10"/>
      <c r="I280" s="25" t="str">
        <f t="shared" si="3"/>
        <v/>
      </c>
      <c r="J280" s="77" t="str">
        <f>IF(H280="","",Fuel!H280*VLOOKUP(F280,'Factors and Tables'!$A$112:$B$117,2,FALSE))</f>
        <v/>
      </c>
      <c r="K280" s="46" t="str">
        <f>IF(OR(F280="",H280=""),"",J280*VLOOKUP(F280,'Factors and Tables'!$A$112:$C$117,3,FALSE))</f>
        <v/>
      </c>
    </row>
  </sheetData>
  <sheetProtection algorithmName="SHA-512" hashValue="QG+G6PRwic3UQhOhWbgYTU7zdRieonZRYActnIQhm/7abxUdjZwE2jlLO8GTbVSgIyi0exXzz6N4/EIkV6L0lQ==" saltValue="neSof6bkT0mCS+6eiHlmYA==" spinCount="100000" sheet="1" objects="1" scenarios="1" selectLockedCells="1" selectUnlockedCells="1"/>
  <mergeCells count="11">
    <mergeCell ref="A3:F3"/>
    <mergeCell ref="A4:F4"/>
    <mergeCell ref="A8:F8"/>
    <mergeCell ref="A39:H39"/>
    <mergeCell ref="A58:G58"/>
    <mergeCell ref="C46:E46"/>
    <mergeCell ref="A41:G41"/>
    <mergeCell ref="A42:G42"/>
    <mergeCell ref="A43:G43"/>
    <mergeCell ref="H12:I12"/>
    <mergeCell ref="A44:G44"/>
  </mergeCells>
  <phoneticPr fontId="9"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FEEBD624-CDC5-4F20-BF59-EFB122BCAC41}">
          <x14:formula1>
            <xm:f>'Factors and Tables'!$H$86:$H$87</xm:f>
          </x14:formula1>
          <xm:sqref>B10</xm:sqref>
        </x14:dataValidation>
        <x14:dataValidation type="list" allowBlank="1" showInputMessage="1" showErrorMessage="1" xr:uid="{0F5944A1-6F7C-4E4F-99F4-136AC245C739}">
          <x14:formula1>
            <xm:f>'Factors and Tables'!$H$89:$H$90</xm:f>
          </x14:formula1>
          <xm:sqref>B46</xm:sqref>
        </x14:dataValidation>
        <x14:dataValidation type="list" allowBlank="1" showInputMessage="1" showErrorMessage="1" xr:uid="{51077C60-06AD-4E2E-A965-7C574F04D78D}">
          <x14:formula1>
            <xm:f>'Factors and Tables'!$A$112:$A$118</xm:f>
          </x14:formula1>
          <xm:sqref>F62:F280</xm:sqref>
        </x14:dataValidation>
        <x14:dataValidation type="list" allowBlank="1" showInputMessage="1" showErrorMessage="1" xr:uid="{AB81498C-4845-4364-88EB-69E489818694}">
          <x14:formula1>
            <xm:f>'Factors and Tables'!$H$102:$H$112</xm:f>
          </x14:formula1>
          <xm:sqref>G62:G280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9208A-37FC-4A2F-B373-0922EB1D8B5A}">
  <dimension ref="A1:G71"/>
  <sheetViews>
    <sheetView zoomScale="80" zoomScaleNormal="80" workbookViewId="0">
      <selection sqref="A1:XFD1048576"/>
    </sheetView>
  </sheetViews>
  <sheetFormatPr defaultRowHeight="15" x14ac:dyDescent="0.25"/>
  <cols>
    <col min="1" max="1" width="64.140625" customWidth="1"/>
    <col min="2" max="2" width="18" customWidth="1"/>
    <col min="3" max="3" width="20.5703125" customWidth="1"/>
    <col min="4" max="4" width="22.5703125" customWidth="1"/>
    <col min="5" max="5" width="20.7109375" customWidth="1"/>
  </cols>
  <sheetData>
    <row r="1" spans="1:5" ht="18.75" x14ac:dyDescent="0.3">
      <c r="A1" s="1" t="str">
        <f>_xlfn.CONCAT(Summary!B7," - Council Managed Waste: GHG Emissions from Disposal &amp; Treatment Processes - ",Summary!B9)</f>
        <v xml:space="preserve"> - Council Managed Waste: GHG Emissions from Disposal &amp; Treatment Processes - </v>
      </c>
    </row>
    <row r="3" spans="1:5" ht="29.25" customHeight="1" x14ac:dyDescent="0.25">
      <c r="A3" s="190" t="s">
        <v>161</v>
      </c>
      <c r="B3" s="190"/>
      <c r="C3" s="190"/>
      <c r="D3" s="190"/>
      <c r="E3" s="190"/>
    </row>
    <row r="4" spans="1:5" ht="47.25" customHeight="1" x14ac:dyDescent="0.25">
      <c r="A4" s="190" t="s">
        <v>517</v>
      </c>
      <c r="B4" s="190"/>
      <c r="C4" s="190"/>
      <c r="D4" s="190"/>
      <c r="E4" s="190"/>
    </row>
    <row r="5" spans="1:5" ht="22.5" customHeight="1" x14ac:dyDescent="0.25">
      <c r="A5" t="s">
        <v>516</v>
      </c>
    </row>
    <row r="6" spans="1:5" x14ac:dyDescent="0.25">
      <c r="A6" t="s">
        <v>515</v>
      </c>
    </row>
    <row r="7" spans="1:5" x14ac:dyDescent="0.25">
      <c r="A7" t="s">
        <v>518</v>
      </c>
    </row>
    <row r="9" spans="1:5" x14ac:dyDescent="0.25">
      <c r="A9" s="4" t="s">
        <v>420</v>
      </c>
      <c r="B9" s="15" t="s">
        <v>418</v>
      </c>
      <c r="C9" t="s">
        <v>422</v>
      </c>
    </row>
    <row r="11" spans="1:5" x14ac:dyDescent="0.25">
      <c r="A11" s="3" t="s">
        <v>421</v>
      </c>
    </row>
    <row r="12" spans="1:5" ht="31.5" customHeight="1" x14ac:dyDescent="0.25">
      <c r="A12" s="8" t="s">
        <v>162</v>
      </c>
      <c r="B12" s="6" t="s">
        <v>423</v>
      </c>
      <c r="C12" s="19" t="s">
        <v>596</v>
      </c>
      <c r="D12" s="19" t="s">
        <v>597</v>
      </c>
    </row>
    <row r="13" spans="1:5" ht="15" customHeight="1" x14ac:dyDescent="0.25">
      <c r="A13" s="4" t="s">
        <v>508</v>
      </c>
      <c r="B13" s="9" t="str">
        <f>IF(B9="Method 1",B22,IF(B9="Method 2",B40,IF(B9="Method 3",IF(B55="",B53,B53+B55),"")))</f>
        <v/>
      </c>
      <c r="C13" s="9">
        <f>IFERROR(IF(B9="Method 1",B26,IF(B9="Method 2",B44,IF(B9="Method 3",SUM(B67:B68),""))),"")</f>
        <v>0</v>
      </c>
      <c r="D13" s="9">
        <f>IFERROR(IF(B9="Method 1",B26,IF(B9="Method 2",D44,IF(B9="Method 3",SUM(D67:D68),""))),"")</f>
        <v>0</v>
      </c>
    </row>
    <row r="14" spans="1:5" x14ac:dyDescent="0.25">
      <c r="A14" s="4" t="s">
        <v>507</v>
      </c>
      <c r="B14" s="9" t="e">
        <f>IF(B9="Method 1",0,IF(B9="Method 2",IF(B35="Composting",B41,0),IF(B9="Method 3",B56+B58,"")))</f>
        <v>#VALUE!</v>
      </c>
      <c r="C14" s="9" t="str">
        <f>IF(B9="Method 1",0,IF(B9="Method 2",B45,IF(B9="Method 3",B69,"")))</f>
        <v/>
      </c>
      <c r="D14" s="9" t="str">
        <f>IF(B9="Method 1",0,IF(B9="Method 2",D45,IF(B9="Method 3",D69,"")))</f>
        <v/>
      </c>
    </row>
    <row r="15" spans="1:5" x14ac:dyDescent="0.25">
      <c r="A15" s="4" t="s">
        <v>419</v>
      </c>
      <c r="B15" s="9" t="str">
        <f>IF(B9="Method 1",0,IF(B9="Method 2",B42,IF(B9="Method 3",B60,"")))</f>
        <v/>
      </c>
      <c r="C15" s="9" t="str">
        <f>IF(B9="Method 1",0,IF(B9="Method 2",B46,IF(B9="Method 3",B70,"")))</f>
        <v/>
      </c>
      <c r="D15" s="9" t="str">
        <f>IF(B9="Method 1",0,IF(B9="Method 2",B46,IF(B9="Method 3",D70,"")))</f>
        <v/>
      </c>
    </row>
    <row r="16" spans="1:5" x14ac:dyDescent="0.25">
      <c r="A16" s="58" t="s">
        <v>509</v>
      </c>
      <c r="B16" s="129" t="e">
        <f>SUM(B13:B15)</f>
        <v>#VALUE!</v>
      </c>
      <c r="C16" s="129">
        <f>SUM(C13:C15)</f>
        <v>0</v>
      </c>
      <c r="D16" s="129">
        <f>SUM(D13:D15)</f>
        <v>0</v>
      </c>
    </row>
    <row r="18" spans="1:5" x14ac:dyDescent="0.25">
      <c r="A18" s="3" t="s">
        <v>514</v>
      </c>
    </row>
    <row r="19" spans="1:5" x14ac:dyDescent="0.25">
      <c r="A19" s="3" t="s">
        <v>145</v>
      </c>
      <c r="B19" s="3" t="s">
        <v>146</v>
      </c>
      <c r="C19" s="3" t="s">
        <v>100</v>
      </c>
    </row>
    <row r="20" spans="1:5" x14ac:dyDescent="0.25">
      <c r="A20" s="4" t="s">
        <v>35</v>
      </c>
      <c r="B20" s="68"/>
      <c r="C20" s="4" t="s">
        <v>152</v>
      </c>
    </row>
    <row r="21" spans="1:5" x14ac:dyDescent="0.25">
      <c r="A21" s="4" t="s">
        <v>36</v>
      </c>
      <c r="B21" s="111"/>
      <c r="C21" s="4" t="s">
        <v>37</v>
      </c>
      <c r="D21" t="s">
        <v>414</v>
      </c>
    </row>
    <row r="22" spans="1:5" x14ac:dyDescent="0.25">
      <c r="A22" s="4" t="s">
        <v>38</v>
      </c>
      <c r="B22" s="9">
        <f>B20*B21</f>
        <v>0</v>
      </c>
      <c r="C22" s="4" t="s">
        <v>37</v>
      </c>
    </row>
    <row r="23" spans="1:5" x14ac:dyDescent="0.25">
      <c r="A23" s="4" t="s">
        <v>147</v>
      </c>
      <c r="B23" s="15"/>
      <c r="C23" s="4"/>
    </row>
    <row r="24" spans="1:5" x14ac:dyDescent="0.25">
      <c r="A24" s="4"/>
      <c r="B24" s="8" t="s">
        <v>599</v>
      </c>
      <c r="C24" s="4"/>
      <c r="D24" s="8" t="s">
        <v>598</v>
      </c>
      <c r="E24" s="4"/>
    </row>
    <row r="25" spans="1:5" x14ac:dyDescent="0.25">
      <c r="A25" s="4" t="s">
        <v>138</v>
      </c>
      <c r="B25" s="57" t="str">
        <f>IF(B23="","",B26/28)</f>
        <v/>
      </c>
      <c r="C25" s="4" t="s">
        <v>513</v>
      </c>
      <c r="D25" s="57" t="str">
        <f>IF(B23="","",D26/28)</f>
        <v/>
      </c>
      <c r="E25" s="4" t="s">
        <v>513</v>
      </c>
    </row>
    <row r="26" spans="1:5" x14ac:dyDescent="0.25">
      <c r="A26" s="4" t="s">
        <v>135</v>
      </c>
      <c r="B26" s="77" t="str">
        <f>IF(B23="","",B22*VLOOKUP(B23,'Factors and Tables'!A147:C151,3,FALSE))</f>
        <v/>
      </c>
      <c r="C26" s="4" t="s">
        <v>151</v>
      </c>
      <c r="D26" s="77" t="str">
        <f>IF(B23="","",B22*VLOOKUP("No LFG Collection",'Factors and Tables'!A152:C152,3,FALSE))</f>
        <v/>
      </c>
      <c r="E26" s="4" t="s">
        <v>151</v>
      </c>
    </row>
    <row r="28" spans="1:5" x14ac:dyDescent="0.25">
      <c r="A28" s="3" t="s">
        <v>139</v>
      </c>
    </row>
    <row r="29" spans="1:5" x14ac:dyDescent="0.25">
      <c r="A29" s="8" t="s">
        <v>145</v>
      </c>
      <c r="B29" s="6" t="s">
        <v>146</v>
      </c>
      <c r="C29" s="6" t="s">
        <v>100</v>
      </c>
    </row>
    <row r="30" spans="1:5" x14ac:dyDescent="0.25">
      <c r="A30" s="4" t="s">
        <v>35</v>
      </c>
      <c r="B30" s="68"/>
      <c r="C30" s="4" t="s">
        <v>152</v>
      </c>
    </row>
    <row r="31" spans="1:5" x14ac:dyDescent="0.25">
      <c r="A31" s="4" t="s">
        <v>153</v>
      </c>
      <c r="B31" s="15"/>
      <c r="C31" s="4" t="s">
        <v>37</v>
      </c>
      <c r="D31" t="s">
        <v>408</v>
      </c>
    </row>
    <row r="32" spans="1:5" x14ac:dyDescent="0.25">
      <c r="A32" s="4" t="s">
        <v>407</v>
      </c>
      <c r="B32" s="15"/>
      <c r="C32" s="4"/>
    </row>
    <row r="33" spans="1:5" x14ac:dyDescent="0.25">
      <c r="A33" s="4" t="s">
        <v>505</v>
      </c>
      <c r="B33" s="109"/>
      <c r="C33" s="4" t="s">
        <v>152</v>
      </c>
    </row>
    <row r="34" spans="1:5" ht="17.25" customHeight="1" x14ac:dyDescent="0.25">
      <c r="A34" s="4" t="s">
        <v>504</v>
      </c>
      <c r="B34" s="15"/>
      <c r="C34" s="4" t="s">
        <v>37</v>
      </c>
      <c r="D34" t="s">
        <v>409</v>
      </c>
    </row>
    <row r="35" spans="1:5" x14ac:dyDescent="0.25">
      <c r="A35" t="s">
        <v>144</v>
      </c>
      <c r="B35" s="15"/>
      <c r="C35" s="4"/>
    </row>
    <row r="36" spans="1:5" x14ac:dyDescent="0.25">
      <c r="A36" s="4" t="s">
        <v>424</v>
      </c>
      <c r="B36" s="109"/>
      <c r="C36" s="4" t="s">
        <v>152</v>
      </c>
    </row>
    <row r="37" spans="1:5" x14ac:dyDescent="0.25">
      <c r="A37" s="4" t="s">
        <v>425</v>
      </c>
      <c r="B37" s="15"/>
      <c r="C37" s="4" t="s">
        <v>37</v>
      </c>
      <c r="D37" t="s">
        <v>610</v>
      </c>
    </row>
    <row r="38" spans="1:5" x14ac:dyDescent="0.25">
      <c r="A38" t="s">
        <v>426</v>
      </c>
      <c r="B38" s="15"/>
      <c r="C38" s="4"/>
    </row>
    <row r="39" spans="1:5" x14ac:dyDescent="0.25">
      <c r="A39" s="8" t="s">
        <v>140</v>
      </c>
      <c r="B39" s="8" t="s">
        <v>599</v>
      </c>
      <c r="C39" s="4"/>
      <c r="D39" s="8" t="s">
        <v>598</v>
      </c>
      <c r="E39" s="4"/>
    </row>
    <row r="40" spans="1:5" ht="16.5" customHeight="1" x14ac:dyDescent="0.25">
      <c r="A40" s="4" t="s">
        <v>412</v>
      </c>
      <c r="B40" s="110" t="str">
        <f>IF(B30="","",B30*B31-B33*B34-B36*B37)</f>
        <v/>
      </c>
      <c r="C40" s="4" t="s">
        <v>37</v>
      </c>
      <c r="D40" s="110" t="str">
        <f>IF(B30="","",B30*B31-B33*B34-B36*B37)</f>
        <v/>
      </c>
      <c r="E40" s="4" t="s">
        <v>37</v>
      </c>
    </row>
    <row r="41" spans="1:5" x14ac:dyDescent="0.25">
      <c r="A41" s="4" t="s">
        <v>431</v>
      </c>
      <c r="B41" s="9">
        <f>B33*B34</f>
        <v>0</v>
      </c>
      <c r="C41" s="4" t="s">
        <v>37</v>
      </c>
      <c r="D41" s="9" t="str">
        <f>IF(B33*B34=0,"",B33*B34)</f>
        <v/>
      </c>
      <c r="E41" s="4" t="s">
        <v>37</v>
      </c>
    </row>
    <row r="42" spans="1:5" x14ac:dyDescent="0.25">
      <c r="A42" s="4" t="s">
        <v>430</v>
      </c>
      <c r="B42" s="9" t="str">
        <f>IF(B36="","",B36*B37)</f>
        <v/>
      </c>
      <c r="C42" s="4" t="s">
        <v>37</v>
      </c>
      <c r="D42" s="9" t="str">
        <f>IF(B36="","",B36*B37)</f>
        <v/>
      </c>
      <c r="E42" s="4" t="s">
        <v>37</v>
      </c>
    </row>
    <row r="43" spans="1:5" ht="15" customHeight="1" x14ac:dyDescent="0.25">
      <c r="A43" s="4" t="s">
        <v>411</v>
      </c>
      <c r="B43" s="110" t="str">
        <f>IF(B30="","",B44/28)</f>
        <v/>
      </c>
      <c r="C43" s="4" t="s">
        <v>428</v>
      </c>
      <c r="D43" s="110" t="str">
        <f>IF(B30="","",B44/28)</f>
        <v/>
      </c>
      <c r="E43" s="4" t="s">
        <v>428</v>
      </c>
    </row>
    <row r="44" spans="1:5" x14ac:dyDescent="0.25">
      <c r="A44" s="4" t="s">
        <v>410</v>
      </c>
      <c r="B44" s="9" t="str">
        <f>IF(B30="","",B40*VLOOKUP(B32,'Factors and Tables'!A147:E151,IF(AND(B33="",B36=""),2,IF(B36="",3,4)),FALSE))</f>
        <v/>
      </c>
      <c r="C44" s="4" t="s">
        <v>151</v>
      </c>
      <c r="D44" s="9" t="str">
        <f>IF(B30="","",B40*VLOOKUP("No LFG Collection",'Factors and Tables'!A152:E152,IF(AND(B33="",B36=""),2,IF(B36="",3,4)),FALSE))</f>
        <v/>
      </c>
      <c r="E44" s="4" t="s">
        <v>151</v>
      </c>
    </row>
    <row r="45" spans="1:5" ht="15" customHeight="1" x14ac:dyDescent="0.25">
      <c r="A45" s="4" t="s">
        <v>155</v>
      </c>
      <c r="B45" s="9" t="str">
        <f>IF(B35="","",B41*VLOOKUP(B$35,'Factors and Tables'!A$213:B$219,2,FALSE))</f>
        <v/>
      </c>
      <c r="C45" s="4" t="s">
        <v>151</v>
      </c>
      <c r="D45" s="9" t="str">
        <f>IF(B35="","",B41*VLOOKUP(B$35,'Factors and Tables'!A$213:B$219,2,FALSE))</f>
        <v/>
      </c>
      <c r="E45" s="4" t="s">
        <v>151</v>
      </c>
    </row>
    <row r="46" spans="1:5" x14ac:dyDescent="0.25">
      <c r="A46" s="4" t="s">
        <v>429</v>
      </c>
      <c r="B46" s="9" t="str">
        <f>IF(B36="","",IF(B38="","",B42*VLOOKUP(B$38,'Factors and Tables'!A$213:B$219,2,FALSE)))</f>
        <v/>
      </c>
      <c r="C46" s="4" t="s">
        <v>151</v>
      </c>
      <c r="D46" s="9" t="str">
        <f>IF(B36="","",IF(B38="","",B42*VLOOKUP(B$38,'Factors and Tables'!A$213:B$219,2,FALSE)))</f>
        <v/>
      </c>
      <c r="E46" s="4" t="s">
        <v>151</v>
      </c>
    </row>
    <row r="47" spans="1:5" x14ac:dyDescent="0.25">
      <c r="A47" s="4" t="s">
        <v>156</v>
      </c>
      <c r="B47" s="110">
        <f>SUM(B44:B46)</f>
        <v>0</v>
      </c>
      <c r="C47" s="4" t="s">
        <v>151</v>
      </c>
      <c r="D47" s="110">
        <f>SUM(D44:D46)</f>
        <v>0</v>
      </c>
      <c r="E47" s="4" t="s">
        <v>151</v>
      </c>
    </row>
    <row r="48" spans="1:5" x14ac:dyDescent="0.25">
      <c r="B48" s="130"/>
    </row>
    <row r="49" spans="1:7" x14ac:dyDescent="0.25">
      <c r="A49" s="3" t="s">
        <v>157</v>
      </c>
    </row>
    <row r="50" spans="1:7" x14ac:dyDescent="0.25">
      <c r="A50" s="156" t="s">
        <v>588</v>
      </c>
    </row>
    <row r="51" spans="1:7" x14ac:dyDescent="0.25">
      <c r="A51" s="8" t="s">
        <v>145</v>
      </c>
      <c r="B51" s="6" t="s">
        <v>146</v>
      </c>
      <c r="C51" s="6" t="s">
        <v>100</v>
      </c>
    </row>
    <row r="52" spans="1:7" x14ac:dyDescent="0.25">
      <c r="A52" s="4" t="s">
        <v>585</v>
      </c>
      <c r="B52" s="15" t="str">
        <f>IF('Data Input'!B79=0,"",'Data Input'!B79)</f>
        <v/>
      </c>
      <c r="C52" s="4"/>
    </row>
    <row r="53" spans="1:7" x14ac:dyDescent="0.25">
      <c r="A53" s="4" t="s">
        <v>584</v>
      </c>
      <c r="B53" s="15" t="str">
        <f>IF('Data Input'!B80=0,"",'Data Input'!B80)</f>
        <v/>
      </c>
      <c r="C53" s="4" t="s">
        <v>160</v>
      </c>
    </row>
    <row r="54" spans="1:7" x14ac:dyDescent="0.25">
      <c r="A54" s="4" t="s">
        <v>587</v>
      </c>
      <c r="B54" s="15" t="str">
        <f>IF('Data Input'!B81=0,"",'Data Input'!B81)</f>
        <v/>
      </c>
      <c r="C54" s="4"/>
    </row>
    <row r="55" spans="1:7" x14ac:dyDescent="0.25">
      <c r="A55" s="4" t="s">
        <v>586</v>
      </c>
      <c r="B55" s="15" t="str">
        <f>IF('Data Input'!B82=0,"",'Data Input'!B82)</f>
        <v/>
      </c>
      <c r="C55" s="4" t="s">
        <v>160</v>
      </c>
    </row>
    <row r="56" spans="1:7" x14ac:dyDescent="0.25">
      <c r="A56" s="4" t="s">
        <v>608</v>
      </c>
      <c r="B56" s="15" t="str">
        <f>IF('Data Input'!B83=0,"",'Data Input'!B83)</f>
        <v/>
      </c>
      <c r="C56" s="4" t="s">
        <v>160</v>
      </c>
    </row>
    <row r="57" spans="1:7" x14ac:dyDescent="0.25">
      <c r="A57" s="4" t="s">
        <v>609</v>
      </c>
      <c r="B57" s="15" t="str">
        <f>IF('Data Input'!B84=0,"",'Data Input'!B84)</f>
        <v/>
      </c>
      <c r="C57" s="4" t="s">
        <v>160</v>
      </c>
    </row>
    <row r="58" spans="1:7" x14ac:dyDescent="0.25">
      <c r="A58" s="4" t="s">
        <v>606</v>
      </c>
      <c r="B58" s="15" t="str">
        <f>IF('Data Input'!B85=0,"",'Data Input'!B85)</f>
        <v/>
      </c>
      <c r="C58" s="4" t="s">
        <v>160</v>
      </c>
      <c r="G58" s="130"/>
    </row>
    <row r="59" spans="1:7" x14ac:dyDescent="0.25">
      <c r="A59" s="4" t="s">
        <v>607</v>
      </c>
      <c r="B59" s="15" t="str">
        <f>IF('Data Input'!B86=0,"",'Data Input'!B86)</f>
        <v/>
      </c>
      <c r="C59" s="4"/>
    </row>
    <row r="60" spans="1:7" x14ac:dyDescent="0.25">
      <c r="A60" s="4" t="s">
        <v>413</v>
      </c>
      <c r="B60" s="15" t="str">
        <f>IF('Data Input'!B87=0,"",'Data Input'!B87)</f>
        <v/>
      </c>
      <c r="C60" s="4" t="s">
        <v>160</v>
      </c>
    </row>
    <row r="61" spans="1:7" x14ac:dyDescent="0.25">
      <c r="A61" s="165" t="s">
        <v>506</v>
      </c>
      <c r="B61" s="15" t="str">
        <f>IF('Data Input'!B88=0,"",'Data Input'!B88)</f>
        <v/>
      </c>
      <c r="C61" s="165"/>
    </row>
    <row r="62" spans="1:7" x14ac:dyDescent="0.25">
      <c r="A62" s="23"/>
      <c r="B62" s="166"/>
      <c r="C62" s="23"/>
    </row>
    <row r="63" spans="1:7" x14ac:dyDescent="0.25">
      <c r="A63" s="4" t="s">
        <v>600</v>
      </c>
      <c r="B63" s="210" t="str">
        <f>IF(B52="","",IF(AND(B60="",B58=""),'Factors and Tables'!H151,IF(B60="",'Factors and Tables'!H152,'Factors and Tables'!H153)))</f>
        <v/>
      </c>
      <c r="C63" s="211"/>
    </row>
    <row r="64" spans="1:7" x14ac:dyDescent="0.25">
      <c r="B64" s="56"/>
    </row>
    <row r="65" spans="1:5" ht="30" x14ac:dyDescent="0.25">
      <c r="A65" s="164" t="s">
        <v>140</v>
      </c>
      <c r="B65" s="19" t="s">
        <v>599</v>
      </c>
      <c r="C65" s="4"/>
      <c r="D65" s="19" t="s">
        <v>598</v>
      </c>
      <c r="E65" s="4"/>
    </row>
    <row r="66" spans="1:5" x14ac:dyDescent="0.25">
      <c r="A66" s="4" t="s">
        <v>427</v>
      </c>
      <c r="B66" s="43" t="str">
        <f>IF(B53="","",IF(B52="","",IF(B68="",(B67)/28,(B67+B68)/28)))</f>
        <v/>
      </c>
      <c r="C66" s="4" t="s">
        <v>428</v>
      </c>
      <c r="D66" s="43" t="str">
        <f>IF(B53="","",IF(B52="","",IF(D68="",(D67)/28,(D67+D68)/28)))</f>
        <v/>
      </c>
      <c r="E66" s="4" t="s">
        <v>428</v>
      </c>
    </row>
    <row r="67" spans="1:5" x14ac:dyDescent="0.25">
      <c r="A67" s="4" t="str">
        <f>_xlfn.CONCAT("Mixed waste GHG emissions - ",B52)</f>
        <v xml:space="preserve">Mixed waste GHG emissions - </v>
      </c>
      <c r="B67" s="9" t="str">
        <f>IF(B53="","",B53*VLOOKUP(B52,'Factors and Tables'!A147:E151,VLOOKUP(B63,'Factors and Tables'!H151:I153,2,FALSE),FALSE))</f>
        <v/>
      </c>
      <c r="C67" s="4" t="s">
        <v>151</v>
      </c>
      <c r="D67" s="9" t="str">
        <f>IF(B53="","",B53*VLOOKUP("No LFG Collection",'Factors and Tables'!A152:E152,VLOOKUP(B63,'Factors and Tables'!H151:I153,2,FALSE),FALSE))</f>
        <v/>
      </c>
      <c r="E67" s="4" t="s">
        <v>151</v>
      </c>
    </row>
    <row r="68" spans="1:5" x14ac:dyDescent="0.25">
      <c r="A68" s="4" t="str">
        <f>_xlfn.CONCAT("Mixed waste GHG emissions - ",IF(B54="","No second landfill used",B54))</f>
        <v>Mixed waste GHG emissions - No second landfill used</v>
      </c>
      <c r="B68" s="9" t="str">
        <f>IF(B55="","",B55*VLOOKUP(B54,'Factors and Tables'!A147:E151,VLOOKUP(B63,'Factors and Tables'!H151:I153,2,FALSE),FALSE))</f>
        <v/>
      </c>
      <c r="C68" s="4" t="s">
        <v>151</v>
      </c>
      <c r="D68" s="9" t="str">
        <f>IF(B55="","",B55*VLOOKUP("No LFG Collection",'Factors and Tables'!A152:E152,VLOOKUP(B63,'Factors and Tables'!H151:I153,2,FALSE),FALSE))</f>
        <v/>
      </c>
      <c r="E68" s="4" t="s">
        <v>151</v>
      </c>
    </row>
    <row r="69" spans="1:5" x14ac:dyDescent="0.25">
      <c r="A69" s="4" t="s">
        <v>155</v>
      </c>
      <c r="B69" s="110" t="str">
        <f>IF(AND(B56="",B58=""),"",(IF(B56="",0,B56*'Factors and Tables'!B216)+IF(B58="",0,B58*VLOOKUP(B59,'Factors and Tables'!H147:I149,2,FALSE))))</f>
        <v/>
      </c>
      <c r="C69" s="4" t="s">
        <v>151</v>
      </c>
      <c r="D69" s="110" t="str">
        <f>IF(AND(B56="",B58=""),"",(IF(B56="",0,B56*'Factors and Tables'!B216)+IF(B58="",0,B58*VLOOKUP(B59,'Factors and Tables'!H147:I149,2,FALSE))))</f>
        <v/>
      </c>
      <c r="E69" s="4" t="s">
        <v>151</v>
      </c>
    </row>
    <row r="70" spans="1:5" x14ac:dyDescent="0.25">
      <c r="A70" s="30" t="s">
        <v>429</v>
      </c>
      <c r="B70" s="112" t="str">
        <f>IF(B61="","",B60*VLOOKUP(B61,'Factors and Tables'!A213:B219,2,FALSE))</f>
        <v/>
      </c>
      <c r="C70" s="4" t="s">
        <v>151</v>
      </c>
      <c r="D70" s="112" t="str">
        <f>IF(B61="","",B60*VLOOKUP(B61,'Factors and Tables'!A213:B219,2,FALSE))</f>
        <v/>
      </c>
      <c r="E70" s="4" t="s">
        <v>151</v>
      </c>
    </row>
    <row r="71" spans="1:5" x14ac:dyDescent="0.25">
      <c r="A71" s="58" t="s">
        <v>156</v>
      </c>
      <c r="B71" s="59">
        <f>SUM(B67:B70)</f>
        <v>0</v>
      </c>
      <c r="C71" s="58" t="s">
        <v>151</v>
      </c>
      <c r="D71" s="59">
        <f>SUM(D67:D70)</f>
        <v>0</v>
      </c>
      <c r="E71" s="58" t="s">
        <v>151</v>
      </c>
    </row>
  </sheetData>
  <sheetProtection algorithmName="SHA-512" hashValue="VTBOzuWXUAssaWKoFbgKnHn6hEk7wbd1VGwBBkNuoCLtRQ46+A9MZo4fks1bljE+cx288h3bPrmpV+/vCHQtZQ==" saltValue="/FxyU5EjVRll+ErPgI7+0w==" spinCount="100000" sheet="1" objects="1" scenarios="1" selectLockedCells="1" selectUnlockedCells="1"/>
  <mergeCells count="3">
    <mergeCell ref="A4:E4"/>
    <mergeCell ref="A3:E3"/>
    <mergeCell ref="B63:C6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9DDA11FD-8503-46CA-B26B-1A6E9993254E}">
          <x14:formula1>
            <xm:f>'Factors and Tables'!$A$147:$A$151</xm:f>
          </x14:formula1>
          <xm:sqref>B23</xm:sqref>
        </x14:dataValidation>
        <x14:dataValidation type="list" allowBlank="1" showInputMessage="1" showErrorMessage="1" xr:uid="{E7FBF1BD-B56C-4A48-A9C4-452272749670}">
          <x14:formula1>
            <xm:f>'Factors and Tables'!$H$136:$H$137</xm:f>
          </x14:formula1>
          <xm:sqref>B35</xm:sqref>
        </x14:dataValidation>
        <x14:dataValidation type="list" allowBlank="1" showInputMessage="1" showErrorMessage="1" xr:uid="{9DA2AE5F-5E9F-4880-8667-34DC9390B290}">
          <x14:formula1>
            <xm:f>'Factors and Tables'!$H$140:$H$144</xm:f>
          </x14:formula1>
          <xm:sqref>B32</xm:sqref>
        </x14:dataValidation>
        <x14:dataValidation type="list" allowBlank="1" showInputMessage="1" showErrorMessage="1" xr:uid="{6C334636-3D1E-45C8-9E15-5D48F46F1484}">
          <x14:formula1>
            <xm:f>'Factors and Tables'!$H$131:$H$133</xm:f>
          </x14:formula1>
          <xm:sqref>B9</xm:sqref>
        </x14:dataValidation>
        <x14:dataValidation type="list" allowBlank="1" showInputMessage="1" showErrorMessage="1" xr:uid="{FE04FFFA-8181-4401-9506-F0C054D212E4}">
          <x14:formula1>
            <xm:f>'Factors and Tables'!$H$147:$H$148</xm:f>
          </x14:formula1>
          <xm:sqref>B38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1DEBD-80CC-40EF-AFC7-D51BD006874B}">
  <dimension ref="A1:V229"/>
  <sheetViews>
    <sheetView topLeftCell="A22" zoomScale="80" zoomScaleNormal="80" workbookViewId="0">
      <selection activeCell="M36" sqref="M36"/>
    </sheetView>
  </sheetViews>
  <sheetFormatPr defaultRowHeight="15" x14ac:dyDescent="0.25"/>
  <cols>
    <col min="1" max="1" width="41.28515625" customWidth="1"/>
    <col min="2" max="2" width="23.42578125" customWidth="1"/>
    <col min="3" max="3" width="23.140625" customWidth="1"/>
    <col min="4" max="4" width="23.5703125" customWidth="1"/>
    <col min="5" max="5" width="19.42578125" customWidth="1"/>
    <col min="6" max="6" width="13.28515625" customWidth="1"/>
    <col min="7" max="7" width="13.42578125" customWidth="1"/>
    <col min="8" max="8" width="39.42578125" customWidth="1"/>
    <col min="9" max="9" width="19.85546875" customWidth="1"/>
    <col min="10" max="10" width="21.85546875" customWidth="1"/>
    <col min="11" max="14" width="8" customWidth="1"/>
  </cols>
  <sheetData>
    <row r="1" spans="1:18" ht="18.75" x14ac:dyDescent="0.3">
      <c r="A1" s="1" t="s">
        <v>104</v>
      </c>
    </row>
    <row r="3" spans="1:18" ht="15.75" x14ac:dyDescent="0.25">
      <c r="A3" s="7" t="s">
        <v>186</v>
      </c>
    </row>
    <row r="4" spans="1:18" x14ac:dyDescent="0.25">
      <c r="A4" s="3" t="s">
        <v>105</v>
      </c>
    </row>
    <row r="5" spans="1:18" ht="29.25" customHeight="1" x14ac:dyDescent="0.25">
      <c r="A5" s="8" t="s">
        <v>115</v>
      </c>
      <c r="B5" s="6" t="s">
        <v>106</v>
      </c>
      <c r="C5" s="40" t="s">
        <v>107</v>
      </c>
      <c r="D5" s="41" t="s">
        <v>108</v>
      </c>
      <c r="E5" s="40" t="s">
        <v>109</v>
      </c>
      <c r="F5" s="40" t="s">
        <v>110</v>
      </c>
      <c r="G5" s="40" t="s">
        <v>111</v>
      </c>
      <c r="H5" s="40" t="s">
        <v>164</v>
      </c>
      <c r="I5" s="40" t="s">
        <v>112</v>
      </c>
      <c r="J5" s="40" t="s">
        <v>113</v>
      </c>
      <c r="K5" s="40" t="s">
        <v>114</v>
      </c>
      <c r="L5" s="40" t="s">
        <v>118</v>
      </c>
      <c r="M5" s="40" t="s">
        <v>117</v>
      </c>
      <c r="N5" s="40" t="s">
        <v>116</v>
      </c>
      <c r="O5" s="6" t="s">
        <v>338</v>
      </c>
      <c r="P5" s="6" t="s">
        <v>339</v>
      </c>
      <c r="Q5" s="6" t="s">
        <v>340</v>
      </c>
      <c r="R5" s="6" t="s">
        <v>341</v>
      </c>
    </row>
    <row r="6" spans="1:18" x14ac:dyDescent="0.25">
      <c r="A6" s="47" t="s">
        <v>209</v>
      </c>
      <c r="B6" s="93">
        <f>'NGER &amp; GHG Acct Factors'!B15</f>
        <v>0.33</v>
      </c>
      <c r="C6" s="93">
        <f>'NGER &amp; GHG Acct Factors'!C15</f>
        <v>0.28000000000000003</v>
      </c>
      <c r="D6" s="93">
        <f>'NGER &amp; GHG Acct Factors'!D15</f>
        <v>0.24</v>
      </c>
      <c r="E6" s="93">
        <f>'NGER &amp; GHG Acct Factors'!E15</f>
        <v>0.19</v>
      </c>
      <c r="F6" s="93">
        <f>'NGER &amp; GHG Acct Factors'!F15</f>
        <v>0.14000000000000001</v>
      </c>
      <c r="G6" s="93">
        <f>'NGER &amp; GHG Acct Factors'!G15</f>
        <v>0.15</v>
      </c>
      <c r="H6" s="93">
        <f>'NGER &amp; GHG Acct Factors'!H15</f>
        <v>0.19</v>
      </c>
      <c r="I6" s="93">
        <f>'NGER &amp; GHG Acct Factors'!I15</f>
        <v>0.23</v>
      </c>
      <c r="J6" s="93">
        <f>'NGER &amp; GHG Acct Factors'!J15</f>
        <v>0.19</v>
      </c>
      <c r="K6" s="93">
        <f>'NGER &amp; GHG Acct Factors'!K15</f>
        <v>0.16</v>
      </c>
      <c r="L6" s="93">
        <f>'NGER &amp; GHG Acct Factors'!L15</f>
        <v>0.15</v>
      </c>
      <c r="M6" s="93">
        <f>'NGER &amp; GHG Acct Factors'!M15</f>
        <v>0.17</v>
      </c>
      <c r="N6" s="93">
        <f>'NGER &amp; GHG Acct Factors'!N15</f>
        <v>0.16</v>
      </c>
      <c r="O6" s="93">
        <f>'NGER &amp; GHG Acct Factors'!O15</f>
        <v>0</v>
      </c>
      <c r="P6" s="93">
        <f>'NGER &amp; GHG Acct Factors'!P15</f>
        <v>0</v>
      </c>
      <c r="Q6" s="93">
        <f>'NGER &amp; GHG Acct Factors'!Q15</f>
        <v>0</v>
      </c>
      <c r="R6" s="93">
        <f>'NGER &amp; GHG Acct Factors'!R15</f>
        <v>0</v>
      </c>
    </row>
    <row r="7" spans="1:18" x14ac:dyDescent="0.25">
      <c r="A7" s="47" t="s">
        <v>210</v>
      </c>
      <c r="B7" s="93">
        <f>'NGER &amp; GHG Acct Factors'!B16</f>
        <v>0.03</v>
      </c>
      <c r="C7" s="93">
        <f>'NGER &amp; GHG Acct Factors'!C16</f>
        <v>0.03</v>
      </c>
      <c r="D7" s="93">
        <f>'NGER &amp; GHG Acct Factors'!D16</f>
        <v>0.03</v>
      </c>
      <c r="E7" s="93">
        <f>'NGER &amp; GHG Acct Factors'!E16</f>
        <v>0.02</v>
      </c>
      <c r="F7" s="93">
        <f>'NGER &amp; GHG Acct Factors'!F16</f>
        <v>0.02</v>
      </c>
      <c r="G7" s="93">
        <f>'NGER &amp; GHG Acct Factors'!G16</f>
        <v>0.02</v>
      </c>
      <c r="H7" s="93">
        <f>'NGER &amp; GHG Acct Factors'!H16</f>
        <v>0.03</v>
      </c>
      <c r="I7" s="93">
        <f>'NGER &amp; GHG Acct Factors'!I16</f>
        <v>0.03</v>
      </c>
      <c r="J7" s="93">
        <f>'NGER &amp; GHG Acct Factors'!J16</f>
        <v>0.03</v>
      </c>
      <c r="K7" s="93">
        <f>'NGER &amp; GHG Acct Factors'!K16</f>
        <v>0.02</v>
      </c>
      <c r="L7" s="93">
        <f>'NGER &amp; GHG Acct Factors'!L16</f>
        <v>0.02</v>
      </c>
      <c r="M7" s="93">
        <f>'NGER &amp; GHG Acct Factors'!M16</f>
        <v>0.02</v>
      </c>
      <c r="N7" s="93">
        <f>'NGER &amp; GHG Acct Factors'!N16</f>
        <v>0.02</v>
      </c>
      <c r="O7" s="93">
        <f>'NGER &amp; GHG Acct Factors'!O16</f>
        <v>0</v>
      </c>
      <c r="P7" s="93">
        <f>'NGER &amp; GHG Acct Factors'!P16</f>
        <v>0</v>
      </c>
      <c r="Q7" s="93">
        <f>'NGER &amp; GHG Acct Factors'!Q16</f>
        <v>0</v>
      </c>
      <c r="R7" s="93">
        <f>'NGER &amp; GHG Acct Factors'!R16</f>
        <v>0</v>
      </c>
    </row>
    <row r="8" spans="1:18" x14ac:dyDescent="0.25">
      <c r="A8" s="54" t="s">
        <v>211</v>
      </c>
      <c r="B8" s="93">
        <f>'NGER &amp; GHG Acct Factors'!B17</f>
        <v>0.36</v>
      </c>
      <c r="C8" s="93">
        <f>'NGER &amp; GHG Acct Factors'!C17</f>
        <v>0.31000000000000005</v>
      </c>
      <c r="D8" s="93">
        <f>'NGER &amp; GHG Acct Factors'!D17</f>
        <v>0.27</v>
      </c>
      <c r="E8" s="93">
        <f>'NGER &amp; GHG Acct Factors'!E17</f>
        <v>0.21</v>
      </c>
      <c r="F8" s="93">
        <f>'NGER &amp; GHG Acct Factors'!F17</f>
        <v>0.16</v>
      </c>
      <c r="G8" s="93">
        <f>'NGER &amp; GHG Acct Factors'!G17</f>
        <v>0.16999999999999998</v>
      </c>
      <c r="H8" s="93">
        <f>'NGER &amp; GHG Acct Factors'!H17</f>
        <v>0.22</v>
      </c>
      <c r="I8" s="93">
        <f>'NGER &amp; GHG Acct Factors'!I17</f>
        <v>0.26</v>
      </c>
      <c r="J8" s="93">
        <f>'NGER &amp; GHG Acct Factors'!J17</f>
        <v>0.22</v>
      </c>
      <c r="K8" s="93">
        <f>'NGER &amp; GHG Acct Factors'!K17</f>
        <v>0.18</v>
      </c>
      <c r="L8" s="93">
        <f>'NGER &amp; GHG Acct Factors'!L17</f>
        <v>0.16999999999999998</v>
      </c>
      <c r="M8" s="93">
        <f>'NGER &amp; GHG Acct Factors'!M17</f>
        <v>0.19</v>
      </c>
      <c r="N8" s="93">
        <f>'NGER &amp; GHG Acct Factors'!N17</f>
        <v>0.18</v>
      </c>
      <c r="O8" s="93">
        <f>'NGER &amp; GHG Acct Factors'!O17</f>
        <v>0</v>
      </c>
      <c r="P8" s="93">
        <f>'NGER &amp; GHG Acct Factors'!P17</f>
        <v>0</v>
      </c>
      <c r="Q8" s="93">
        <f>'NGER &amp; GHG Acct Factors'!Q17</f>
        <v>0</v>
      </c>
      <c r="R8" s="93">
        <f>'NGER &amp; GHG Acct Factors'!R17</f>
        <v>0</v>
      </c>
    </row>
    <row r="9" spans="1:18" x14ac:dyDescent="0.25">
      <c r="A9" s="3" t="s">
        <v>207</v>
      </c>
    </row>
    <row r="10" spans="1:18" x14ac:dyDescent="0.25">
      <c r="A10" s="4" t="s">
        <v>115</v>
      </c>
      <c r="B10" s="4">
        <f>'NGER &amp; GHG Acct Factors'!B19</f>
        <v>365</v>
      </c>
      <c r="C10" s="4">
        <f>'NGER &amp; GHG Acct Factors'!C19</f>
        <v>365</v>
      </c>
      <c r="D10" s="4">
        <f>'NGER &amp; GHG Acct Factors'!D19</f>
        <v>366</v>
      </c>
      <c r="E10" s="4">
        <f>'NGER &amp; GHG Acct Factors'!E19</f>
        <v>365</v>
      </c>
      <c r="F10" s="4">
        <f>'NGER &amp; GHG Acct Factors'!F19</f>
        <v>365</v>
      </c>
      <c r="G10" s="4">
        <f>'NGER &amp; GHG Acct Factors'!G19</f>
        <v>365</v>
      </c>
      <c r="H10" s="4">
        <f>'NGER &amp; GHG Acct Factors'!H19</f>
        <v>366</v>
      </c>
      <c r="I10" s="4">
        <f>'NGER &amp; GHG Acct Factors'!I19</f>
        <v>365</v>
      </c>
      <c r="J10" s="4">
        <f>'NGER &amp; GHG Acct Factors'!J19</f>
        <v>365</v>
      </c>
      <c r="K10" s="4">
        <f>'NGER &amp; GHG Acct Factors'!K19</f>
        <v>365</v>
      </c>
      <c r="L10" s="4">
        <f>'NGER &amp; GHG Acct Factors'!L19</f>
        <v>366</v>
      </c>
      <c r="M10" s="4">
        <f>'NGER &amp; GHG Acct Factors'!M19</f>
        <v>365</v>
      </c>
      <c r="N10" s="4">
        <f>'NGER &amp; GHG Acct Factors'!N19</f>
        <v>365</v>
      </c>
      <c r="O10" s="4">
        <f>'NGER &amp; GHG Acct Factors'!O19</f>
        <v>365</v>
      </c>
      <c r="P10" s="4">
        <f>'NGER &amp; GHG Acct Factors'!P19</f>
        <v>366</v>
      </c>
      <c r="Q10" s="4">
        <f>'NGER &amp; GHG Acct Factors'!Q19</f>
        <v>365</v>
      </c>
      <c r="R10" s="4">
        <f>'NGER &amp; GHG Acct Factors'!R19</f>
        <v>365</v>
      </c>
    </row>
    <row r="11" spans="1:18" x14ac:dyDescent="0.25">
      <c r="A11" s="4" t="s">
        <v>208</v>
      </c>
      <c r="B11" s="4">
        <f>'NGER &amp; GHG Acct Factors'!B20</f>
        <v>28</v>
      </c>
      <c r="C11" s="4">
        <f>'NGER &amp; GHG Acct Factors'!C20</f>
        <v>28</v>
      </c>
      <c r="D11" s="4">
        <f>'NGER &amp; GHG Acct Factors'!D20</f>
        <v>29</v>
      </c>
      <c r="E11" s="4">
        <f>'NGER &amp; GHG Acct Factors'!E20</f>
        <v>28</v>
      </c>
      <c r="F11" s="4">
        <f>'NGER &amp; GHG Acct Factors'!F20</f>
        <v>28</v>
      </c>
      <c r="G11" s="4">
        <f>'NGER &amp; GHG Acct Factors'!G20</f>
        <v>28</v>
      </c>
      <c r="H11" s="4">
        <f>'NGER &amp; GHG Acct Factors'!H20</f>
        <v>29</v>
      </c>
      <c r="I11" s="4">
        <f>'NGER &amp; GHG Acct Factors'!I20</f>
        <v>28</v>
      </c>
      <c r="J11" s="4">
        <f>'NGER &amp; GHG Acct Factors'!J20</f>
        <v>28</v>
      </c>
      <c r="K11" s="4">
        <f>'NGER &amp; GHG Acct Factors'!K20</f>
        <v>28</v>
      </c>
      <c r="L11" s="4">
        <f>'NGER &amp; GHG Acct Factors'!L20</f>
        <v>29</v>
      </c>
      <c r="M11" s="4">
        <f>'NGER &amp; GHG Acct Factors'!M20</f>
        <v>28</v>
      </c>
      <c r="N11" s="4">
        <f>'NGER &amp; GHG Acct Factors'!N20</f>
        <v>28</v>
      </c>
      <c r="O11" s="4">
        <f>'NGER &amp; GHG Acct Factors'!O20</f>
        <v>28</v>
      </c>
      <c r="P11" s="4">
        <f>'NGER &amp; GHG Acct Factors'!P20</f>
        <v>28</v>
      </c>
      <c r="Q11" s="4">
        <f>'NGER &amp; GHG Acct Factors'!Q20</f>
        <v>28</v>
      </c>
      <c r="R11" s="4">
        <f>'NGER &amp; GHG Acct Factors'!R20</f>
        <v>28</v>
      </c>
    </row>
    <row r="13" spans="1:18" x14ac:dyDescent="0.25">
      <c r="A13" t="s">
        <v>547</v>
      </c>
      <c r="B13" s="4" t="s">
        <v>548</v>
      </c>
      <c r="H13" s="4" t="s">
        <v>334</v>
      </c>
      <c r="I13" s="27">
        <v>1225</v>
      </c>
      <c r="J13" s="4" t="s">
        <v>333</v>
      </c>
      <c r="K13" t="s">
        <v>335</v>
      </c>
    </row>
    <row r="14" spans="1:18" x14ac:dyDescent="0.25">
      <c r="B14" s="4" t="s">
        <v>549</v>
      </c>
    </row>
    <row r="15" spans="1:18" x14ac:dyDescent="0.25">
      <c r="A15" t="s">
        <v>239</v>
      </c>
      <c r="H15" s="8" t="s">
        <v>268</v>
      </c>
      <c r="I15" s="8" t="s">
        <v>269</v>
      </c>
      <c r="J15" s="6" t="s">
        <v>277</v>
      </c>
    </row>
    <row r="16" spans="1:18" ht="30" x14ac:dyDescent="0.25">
      <c r="A16" s="8" t="s">
        <v>212</v>
      </c>
      <c r="B16" s="19" t="s">
        <v>222</v>
      </c>
      <c r="C16" s="19" t="s">
        <v>223</v>
      </c>
      <c r="D16" s="19" t="s">
        <v>238</v>
      </c>
      <c r="H16" s="4" t="s">
        <v>256</v>
      </c>
      <c r="I16" s="4">
        <v>13.33</v>
      </c>
      <c r="J16" s="4" t="s">
        <v>273</v>
      </c>
    </row>
    <row r="17" spans="1:13" x14ac:dyDescent="0.25">
      <c r="A17" s="4" t="s">
        <v>314</v>
      </c>
      <c r="B17" s="4" t="s">
        <v>216</v>
      </c>
      <c r="C17" s="4" t="s">
        <v>216</v>
      </c>
      <c r="D17" s="30" t="s">
        <v>622</v>
      </c>
      <c r="E17" s="42"/>
      <c r="H17" s="4" t="s">
        <v>257</v>
      </c>
      <c r="I17" s="4">
        <v>13.61</v>
      </c>
      <c r="J17" s="4" t="s">
        <v>278</v>
      </c>
    </row>
    <row r="18" spans="1:13" x14ac:dyDescent="0.25">
      <c r="A18" s="4" t="s">
        <v>289</v>
      </c>
      <c r="B18" s="4" t="s">
        <v>217</v>
      </c>
      <c r="C18" s="4" t="s">
        <v>217</v>
      </c>
      <c r="D18" s="4" t="s">
        <v>241</v>
      </c>
      <c r="E18" s="42"/>
      <c r="H18" s="4" t="s">
        <v>259</v>
      </c>
      <c r="I18" s="4">
        <v>13.21</v>
      </c>
      <c r="J18" s="4" t="s">
        <v>279</v>
      </c>
    </row>
    <row r="19" spans="1:13" ht="14.25" customHeight="1" x14ac:dyDescent="0.25">
      <c r="A19" s="4" t="s">
        <v>23</v>
      </c>
      <c r="B19" s="4" t="s">
        <v>218</v>
      </c>
      <c r="C19" s="4" t="s">
        <v>224</v>
      </c>
      <c r="D19" s="4" t="s">
        <v>218</v>
      </c>
      <c r="H19" s="4" t="s">
        <v>258</v>
      </c>
      <c r="I19" s="67">
        <v>13</v>
      </c>
      <c r="J19" s="4" t="s">
        <v>272</v>
      </c>
    </row>
    <row r="20" spans="1:13" x14ac:dyDescent="0.25">
      <c r="A20" s="4" t="s">
        <v>482</v>
      </c>
      <c r="B20" s="4" t="s">
        <v>219</v>
      </c>
      <c r="C20" s="4" t="s">
        <v>225</v>
      </c>
      <c r="D20" s="4" t="s">
        <v>240</v>
      </c>
      <c r="H20" s="4" t="s">
        <v>267</v>
      </c>
      <c r="I20" s="4">
        <v>13.55</v>
      </c>
      <c r="J20" s="4" t="s">
        <v>280</v>
      </c>
    </row>
    <row r="21" spans="1:13" x14ac:dyDescent="0.25">
      <c r="A21" s="4" t="s">
        <v>483</v>
      </c>
      <c r="H21" s="4" t="s">
        <v>260</v>
      </c>
      <c r="I21" s="4">
        <v>13.06</v>
      </c>
      <c r="J21" s="4" t="s">
        <v>278</v>
      </c>
    </row>
    <row r="22" spans="1:13" x14ac:dyDescent="0.25">
      <c r="A22" s="4" t="s">
        <v>313</v>
      </c>
      <c r="H22" s="4" t="s">
        <v>261</v>
      </c>
      <c r="I22" s="4">
        <v>12.65</v>
      </c>
      <c r="J22" s="4" t="s">
        <v>281</v>
      </c>
    </row>
    <row r="23" spans="1:13" x14ac:dyDescent="0.25">
      <c r="A23" s="4" t="s">
        <v>510</v>
      </c>
      <c r="H23" s="4" t="s">
        <v>263</v>
      </c>
      <c r="I23" s="4">
        <v>12.66</v>
      </c>
      <c r="J23" s="4" t="s">
        <v>271</v>
      </c>
    </row>
    <row r="24" spans="1:13" x14ac:dyDescent="0.25">
      <c r="A24" s="30" t="s">
        <v>337</v>
      </c>
      <c r="H24" s="4" t="s">
        <v>262</v>
      </c>
      <c r="I24" s="4">
        <v>13.65</v>
      </c>
      <c r="J24" s="4" t="s">
        <v>270</v>
      </c>
    </row>
    <row r="25" spans="1:13" x14ac:dyDescent="0.25">
      <c r="A25" s="4" t="s">
        <v>530</v>
      </c>
      <c r="H25" s="4" t="s">
        <v>264</v>
      </c>
      <c r="I25" s="4">
        <v>12.91</v>
      </c>
      <c r="J25" s="4" t="s">
        <v>275</v>
      </c>
    </row>
    <row r="26" spans="1:13" x14ac:dyDescent="0.25">
      <c r="A26" s="30" t="s">
        <v>288</v>
      </c>
      <c r="H26" s="4" t="s">
        <v>265</v>
      </c>
      <c r="I26" s="4">
        <v>13.65</v>
      </c>
      <c r="J26" s="4" t="s">
        <v>274</v>
      </c>
    </row>
    <row r="27" spans="1:13" ht="16.5" customHeight="1" x14ac:dyDescent="0.25">
      <c r="A27" s="4" t="s">
        <v>578</v>
      </c>
      <c r="H27" s="4" t="s">
        <v>266</v>
      </c>
      <c r="I27" s="4">
        <v>12.61</v>
      </c>
      <c r="J27" s="4" t="s">
        <v>276</v>
      </c>
    </row>
    <row r="28" spans="1:13" x14ac:dyDescent="0.25">
      <c r="A28" s="4" t="s">
        <v>75</v>
      </c>
    </row>
    <row r="29" spans="1:13" ht="15" customHeight="1" x14ac:dyDescent="0.25">
      <c r="A29" s="3" t="s">
        <v>245</v>
      </c>
    </row>
    <row r="30" spans="1:13" ht="33.75" customHeight="1" x14ac:dyDescent="0.25">
      <c r="A30" s="4" t="s">
        <v>235</v>
      </c>
      <c r="B30" s="4">
        <v>12.5</v>
      </c>
      <c r="C30" s="216" t="s">
        <v>69</v>
      </c>
      <c r="D30" s="217"/>
      <c r="E30" s="217"/>
      <c r="F30" s="217"/>
      <c r="G30" s="217"/>
    </row>
    <row r="31" spans="1:13" x14ac:dyDescent="0.25">
      <c r="A31" s="4" t="s">
        <v>243</v>
      </c>
      <c r="B31" s="4" t="s">
        <v>248</v>
      </c>
      <c r="C31" s="4" t="s">
        <v>246</v>
      </c>
      <c r="D31" s="4" t="s">
        <v>10</v>
      </c>
      <c r="E31" s="4" t="s">
        <v>11</v>
      </c>
      <c r="F31" s="4" t="s">
        <v>12</v>
      </c>
      <c r="G31" s="4" t="s">
        <v>13</v>
      </c>
      <c r="H31" s="4" t="s">
        <v>14</v>
      </c>
      <c r="I31" s="4" t="s">
        <v>15</v>
      </c>
      <c r="J31" s="4" t="s">
        <v>16</v>
      </c>
      <c r="K31" s="4" t="s">
        <v>17</v>
      </c>
      <c r="L31" s="4" t="s">
        <v>18</v>
      </c>
      <c r="M31" s="4" t="s">
        <v>19</v>
      </c>
    </row>
    <row r="32" spans="1:13" x14ac:dyDescent="0.25">
      <c r="A32" s="4" t="s">
        <v>244</v>
      </c>
      <c r="B32" s="4">
        <v>31</v>
      </c>
      <c r="C32" s="4">
        <v>31</v>
      </c>
      <c r="D32" s="4">
        <v>30</v>
      </c>
      <c r="E32" s="4">
        <v>31</v>
      </c>
      <c r="F32" s="4">
        <v>30</v>
      </c>
      <c r="G32" s="4">
        <v>31</v>
      </c>
      <c r="H32" s="4">
        <v>31</v>
      </c>
      <c r="I32" s="4">
        <f>IF(Summary!B9="",28,HLOOKUP(Summary!B9,'Factors and Tables'!B5:R11,7,FALSE))</f>
        <v>28</v>
      </c>
      <c r="J32" s="4">
        <v>31</v>
      </c>
      <c r="K32" s="4">
        <v>30</v>
      </c>
      <c r="L32" s="4">
        <v>31</v>
      </c>
      <c r="M32" s="4">
        <v>30</v>
      </c>
    </row>
    <row r="34" spans="1:13" x14ac:dyDescent="0.25">
      <c r="A34" s="4" t="s">
        <v>659</v>
      </c>
      <c r="B34" s="4" t="str">
        <f>B31</f>
        <v>Jul</v>
      </c>
      <c r="C34" s="4" t="str">
        <f t="shared" ref="C34:M34" si="0">C31</f>
        <v>Aug</v>
      </c>
      <c r="D34" s="4" t="str">
        <f t="shared" si="0"/>
        <v>Sep</v>
      </c>
      <c r="E34" s="4" t="str">
        <f t="shared" si="0"/>
        <v>Oct</v>
      </c>
      <c r="F34" s="4" t="str">
        <f t="shared" si="0"/>
        <v>Nov</v>
      </c>
      <c r="G34" s="4" t="str">
        <f t="shared" si="0"/>
        <v>Dec</v>
      </c>
      <c r="H34" s="4" t="str">
        <f t="shared" si="0"/>
        <v>Jan</v>
      </c>
      <c r="I34" s="4" t="str">
        <f t="shared" si="0"/>
        <v>Feb</v>
      </c>
      <c r="J34" s="4" t="str">
        <f t="shared" si="0"/>
        <v>Mar</v>
      </c>
      <c r="K34" s="4" t="str">
        <f t="shared" si="0"/>
        <v>Apr</v>
      </c>
      <c r="L34" s="4" t="str">
        <f t="shared" si="0"/>
        <v>May</v>
      </c>
      <c r="M34" s="4" t="str">
        <f t="shared" si="0"/>
        <v>Jun</v>
      </c>
    </row>
    <row r="35" spans="1:13" x14ac:dyDescent="0.25">
      <c r="A35" s="4" t="s">
        <v>657</v>
      </c>
      <c r="B35" s="96">
        <v>4.1913448673895203E-2</v>
      </c>
      <c r="C35" s="96">
        <v>5.6687811312239454E-2</v>
      </c>
      <c r="D35" s="96">
        <v>8.3397345399812611E-2</v>
      </c>
      <c r="E35" s="96">
        <v>9.7396693653880886E-2</v>
      </c>
      <c r="F35" s="96">
        <v>0.11456426198131874</v>
      </c>
      <c r="G35" s="96">
        <v>0.12682348809553759</v>
      </c>
      <c r="H35" s="96">
        <v>0.13341222782476897</v>
      </c>
      <c r="I35" s="96">
        <v>0.10451003901161968</v>
      </c>
      <c r="J35" s="96">
        <v>9.1983972798498029E-2</v>
      </c>
      <c r="K35" s="96">
        <v>6.9756407106390125E-2</v>
      </c>
      <c r="L35" s="96">
        <v>4.6831897630839475E-2</v>
      </c>
      <c r="M35" s="96">
        <v>3.2722406511199169E-2</v>
      </c>
    </row>
    <row r="36" spans="1:13" x14ac:dyDescent="0.25">
      <c r="A36" s="4" t="s">
        <v>658</v>
      </c>
      <c r="B36" s="99">
        <f>1-B35/2</f>
        <v>0.97904327566305238</v>
      </c>
      <c r="C36" s="99">
        <f>B36-(B35+C35)/2</f>
        <v>0.9297426456699851</v>
      </c>
      <c r="D36" s="99">
        <f t="shared" ref="D36:L36" si="1">C36-(C35+D35)/2</f>
        <v>0.85970006731395909</v>
      </c>
      <c r="E36" s="99">
        <f t="shared" si="1"/>
        <v>0.76930304778711234</v>
      </c>
      <c r="F36" s="99">
        <f t="shared" si="1"/>
        <v>0.66332256996951255</v>
      </c>
      <c r="G36" s="99">
        <f t="shared" si="1"/>
        <v>0.54262869493108434</v>
      </c>
      <c r="H36" s="99">
        <f t="shared" si="1"/>
        <v>0.41251083697093105</v>
      </c>
      <c r="I36" s="99">
        <f t="shared" si="1"/>
        <v>0.29354970355273674</v>
      </c>
      <c r="J36" s="99">
        <f t="shared" si="1"/>
        <v>0.19530269764767788</v>
      </c>
      <c r="K36" s="99">
        <f t="shared" si="1"/>
        <v>0.1144325076952338</v>
      </c>
      <c r="L36" s="99">
        <f t="shared" si="1"/>
        <v>5.6138355326619004E-2</v>
      </c>
      <c r="M36" s="99">
        <f t="shared" ref="M36" si="2">L36-M35</f>
        <v>2.3415948815419835E-2</v>
      </c>
    </row>
    <row r="38" spans="1:13" x14ac:dyDescent="0.25">
      <c r="A38" s="8" t="s">
        <v>485</v>
      </c>
      <c r="B38" s="6" t="s">
        <v>555</v>
      </c>
    </row>
    <row r="39" spans="1:13" x14ac:dyDescent="0.25">
      <c r="A39" s="4" t="s">
        <v>41</v>
      </c>
      <c r="B39" s="4">
        <v>60</v>
      </c>
    </row>
    <row r="40" spans="1:13" x14ac:dyDescent="0.25">
      <c r="A40" s="4" t="s">
        <v>61</v>
      </c>
      <c r="B40" s="4">
        <v>100</v>
      </c>
    </row>
    <row r="41" spans="1:13" x14ac:dyDescent="0.25">
      <c r="A41" s="4" t="s">
        <v>50</v>
      </c>
      <c r="B41" s="4">
        <v>65</v>
      </c>
    </row>
    <row r="42" spans="1:13" x14ac:dyDescent="0.25">
      <c r="A42" s="4" t="s">
        <v>51</v>
      </c>
      <c r="B42" s="4">
        <v>95.8</v>
      </c>
    </row>
    <row r="43" spans="1:13" x14ac:dyDescent="0.25">
      <c r="A43" s="4" t="s">
        <v>52</v>
      </c>
      <c r="B43" s="4">
        <v>142</v>
      </c>
    </row>
    <row r="44" spans="1:13" x14ac:dyDescent="0.25">
      <c r="A44" s="4" t="s">
        <v>53</v>
      </c>
      <c r="B44" s="4">
        <v>270</v>
      </c>
    </row>
    <row r="45" spans="1:13" x14ac:dyDescent="0.25">
      <c r="A45" s="4" t="s">
        <v>54</v>
      </c>
      <c r="B45" s="4">
        <v>430</v>
      </c>
    </row>
    <row r="46" spans="1:13" x14ac:dyDescent="0.25">
      <c r="A46" s="4" t="s">
        <v>56</v>
      </c>
      <c r="B46" s="4">
        <v>29</v>
      </c>
    </row>
    <row r="47" spans="1:13" x14ac:dyDescent="0.25">
      <c r="A47" s="4" t="s">
        <v>57</v>
      </c>
      <c r="B47" s="4">
        <v>50</v>
      </c>
    </row>
    <row r="48" spans="1:13" x14ac:dyDescent="0.25">
      <c r="A48" s="4" t="s">
        <v>44</v>
      </c>
      <c r="B48" s="4">
        <v>50</v>
      </c>
    </row>
    <row r="49" spans="1:2" x14ac:dyDescent="0.25">
      <c r="A49" s="4" t="s">
        <v>48</v>
      </c>
      <c r="B49" s="4">
        <v>47</v>
      </c>
    </row>
    <row r="50" spans="1:2" x14ac:dyDescent="0.25">
      <c r="A50" s="4" t="s">
        <v>47</v>
      </c>
      <c r="B50" s="4">
        <v>100</v>
      </c>
    </row>
    <row r="51" spans="1:2" x14ac:dyDescent="0.25">
      <c r="A51" s="4" t="s">
        <v>59</v>
      </c>
      <c r="B51" s="4">
        <v>150</v>
      </c>
    </row>
    <row r="52" spans="1:2" x14ac:dyDescent="0.25">
      <c r="A52" s="4" t="s">
        <v>58</v>
      </c>
      <c r="B52" s="4">
        <v>100</v>
      </c>
    </row>
    <row r="53" spans="1:2" x14ac:dyDescent="0.25">
      <c r="A53" s="4" t="s">
        <v>60</v>
      </c>
      <c r="B53" s="4">
        <v>200</v>
      </c>
    </row>
    <row r="54" spans="1:2" x14ac:dyDescent="0.25">
      <c r="A54" s="4" t="s">
        <v>62</v>
      </c>
      <c r="B54" s="4">
        <v>36.6</v>
      </c>
    </row>
    <row r="55" spans="1:2" x14ac:dyDescent="0.25">
      <c r="A55" s="4" t="s">
        <v>49</v>
      </c>
      <c r="B55" s="4">
        <v>46.4</v>
      </c>
    </row>
    <row r="56" spans="1:2" x14ac:dyDescent="0.25">
      <c r="A56" s="4" t="s">
        <v>45</v>
      </c>
      <c r="B56" s="4">
        <v>86</v>
      </c>
    </row>
    <row r="57" spans="1:2" x14ac:dyDescent="0.25">
      <c r="A57" s="4" t="s">
        <v>46</v>
      </c>
      <c r="B57" s="4">
        <v>120</v>
      </c>
    </row>
    <row r="58" spans="1:2" x14ac:dyDescent="0.25">
      <c r="A58" s="4" t="s">
        <v>40</v>
      </c>
      <c r="B58" s="4">
        <v>173</v>
      </c>
    </row>
    <row r="59" spans="1:2" x14ac:dyDescent="0.25">
      <c r="A59" s="4" t="s">
        <v>43</v>
      </c>
      <c r="B59" s="4">
        <v>273</v>
      </c>
    </row>
    <row r="60" spans="1:2" x14ac:dyDescent="0.25">
      <c r="A60" s="4" t="s">
        <v>42</v>
      </c>
      <c r="B60" s="4">
        <v>440</v>
      </c>
    </row>
    <row r="61" spans="1:2" x14ac:dyDescent="0.25">
      <c r="A61" s="4" t="s">
        <v>557</v>
      </c>
      <c r="B61" s="4">
        <v>880</v>
      </c>
    </row>
    <row r="62" spans="1:2" x14ac:dyDescent="0.25">
      <c r="A62" s="4" t="s">
        <v>558</v>
      </c>
      <c r="B62" s="4">
        <v>85.3</v>
      </c>
    </row>
    <row r="63" spans="1:2" x14ac:dyDescent="0.25">
      <c r="A63" s="4" t="s">
        <v>55</v>
      </c>
      <c r="B63" s="4">
        <v>115.7</v>
      </c>
    </row>
    <row r="64" spans="1:2" x14ac:dyDescent="0.25">
      <c r="A64" s="4" t="s">
        <v>559</v>
      </c>
      <c r="B64" s="4">
        <v>173</v>
      </c>
    </row>
    <row r="65" spans="1:2" x14ac:dyDescent="0.25">
      <c r="A65" s="4" t="s">
        <v>560</v>
      </c>
      <c r="B65" s="4">
        <v>286</v>
      </c>
    </row>
    <row r="66" spans="1:2" x14ac:dyDescent="0.25">
      <c r="A66" s="4" t="s">
        <v>561</v>
      </c>
      <c r="B66" s="4">
        <v>449</v>
      </c>
    </row>
    <row r="67" spans="1:2" x14ac:dyDescent="0.25">
      <c r="A67" s="4" t="s">
        <v>65</v>
      </c>
      <c r="B67" s="4">
        <v>17</v>
      </c>
    </row>
    <row r="68" spans="1:2" x14ac:dyDescent="0.25">
      <c r="A68" s="4" t="s">
        <v>552</v>
      </c>
      <c r="B68" s="4">
        <v>17.7</v>
      </c>
    </row>
    <row r="69" spans="1:2" x14ac:dyDescent="0.25">
      <c r="A69" s="4" t="s">
        <v>562</v>
      </c>
      <c r="B69" s="4">
        <v>17.600000000000001</v>
      </c>
    </row>
    <row r="70" spans="1:2" x14ac:dyDescent="0.25">
      <c r="A70" s="4" t="s">
        <v>66</v>
      </c>
      <c r="B70" s="4">
        <v>21.9</v>
      </c>
    </row>
    <row r="71" spans="1:2" x14ac:dyDescent="0.25">
      <c r="A71" s="4" t="s">
        <v>563</v>
      </c>
      <c r="B71" s="4">
        <v>18.3</v>
      </c>
    </row>
    <row r="72" spans="1:2" x14ac:dyDescent="0.25">
      <c r="A72" s="4" t="s">
        <v>67</v>
      </c>
      <c r="B72" s="4">
        <v>29</v>
      </c>
    </row>
    <row r="73" spans="1:2" x14ac:dyDescent="0.25">
      <c r="A73" s="4" t="s">
        <v>564</v>
      </c>
      <c r="B73" s="4">
        <v>30</v>
      </c>
    </row>
    <row r="74" spans="1:2" x14ac:dyDescent="0.25">
      <c r="A74" s="4" t="s">
        <v>565</v>
      </c>
      <c r="B74" s="4">
        <v>30.6</v>
      </c>
    </row>
    <row r="75" spans="1:2" x14ac:dyDescent="0.25">
      <c r="A75" s="4" t="s">
        <v>64</v>
      </c>
      <c r="B75" s="4">
        <v>74</v>
      </c>
    </row>
    <row r="76" spans="1:2" x14ac:dyDescent="0.25">
      <c r="A76" s="4" t="s">
        <v>566</v>
      </c>
      <c r="B76" s="4">
        <v>156.6</v>
      </c>
    </row>
    <row r="77" spans="1:2" x14ac:dyDescent="0.25">
      <c r="A77" s="4" t="s">
        <v>63</v>
      </c>
      <c r="B77" s="4">
        <v>170</v>
      </c>
    </row>
    <row r="78" spans="1:2" x14ac:dyDescent="0.25">
      <c r="A78" s="4" t="s">
        <v>567</v>
      </c>
      <c r="B78" s="4">
        <v>196.2</v>
      </c>
    </row>
    <row r="79" spans="1:2" x14ac:dyDescent="0.25">
      <c r="A79" s="4" t="s">
        <v>550</v>
      </c>
      <c r="B79" s="4">
        <v>245</v>
      </c>
    </row>
    <row r="80" spans="1:2" x14ac:dyDescent="0.25">
      <c r="A80" s="4" t="s">
        <v>551</v>
      </c>
      <c r="B80" s="4">
        <v>258</v>
      </c>
    </row>
    <row r="81" spans="1:8" ht="15.75" x14ac:dyDescent="0.25">
      <c r="A81" s="7" t="s">
        <v>119</v>
      </c>
    </row>
    <row r="82" spans="1:8" x14ac:dyDescent="0.25">
      <c r="A82" s="3" t="s">
        <v>124</v>
      </c>
    </row>
    <row r="83" spans="1:8" ht="15.75" x14ac:dyDescent="0.25">
      <c r="A83" s="8" t="s">
        <v>87</v>
      </c>
      <c r="B83" s="6" t="s">
        <v>146</v>
      </c>
      <c r="C83" s="6" t="s">
        <v>100</v>
      </c>
      <c r="D83" s="213" t="s">
        <v>213</v>
      </c>
      <c r="E83" s="214"/>
      <c r="F83" s="215"/>
      <c r="H83" s="7" t="s">
        <v>185</v>
      </c>
    </row>
    <row r="84" spans="1:8" x14ac:dyDescent="0.25">
      <c r="A84" s="4"/>
      <c r="B84" s="4"/>
      <c r="C84" s="11" t="s">
        <v>178</v>
      </c>
      <c r="D84" s="6" t="s">
        <v>128</v>
      </c>
      <c r="E84" s="6" t="s">
        <v>129</v>
      </c>
      <c r="F84" s="6" t="s">
        <v>130</v>
      </c>
    </row>
    <row r="85" spans="1:8" x14ac:dyDescent="0.25">
      <c r="A85" s="4" t="str">
        <f>'NGER &amp; GHG Acct Factors'!A26</f>
        <v xml:space="preserve">Gasoline </v>
      </c>
      <c r="B85" s="4">
        <f>'NGER &amp; GHG Acct Factors'!B26</f>
        <v>34.200000000000003</v>
      </c>
      <c r="C85" s="11" t="str">
        <f>'NGER &amp; GHG Acct Factors'!C26</f>
        <v>GJ/kL</v>
      </c>
      <c r="D85" s="4">
        <f>'NGER &amp; GHG Acct Factors'!D26</f>
        <v>67.400000000000006</v>
      </c>
      <c r="E85" s="4">
        <f>'NGER &amp; GHG Acct Factors'!E26</f>
        <v>0.6</v>
      </c>
      <c r="F85" s="4">
        <f>'NGER &amp; GHG Acct Factors'!F26</f>
        <v>1.6</v>
      </c>
      <c r="H85" s="8" t="s">
        <v>214</v>
      </c>
    </row>
    <row r="86" spans="1:8" x14ac:dyDescent="0.25">
      <c r="A86" s="4" t="s">
        <v>120</v>
      </c>
      <c r="B86" s="4">
        <v>38.6</v>
      </c>
      <c r="C86" s="11" t="s">
        <v>178</v>
      </c>
      <c r="D86" s="4">
        <v>69.900000000000006</v>
      </c>
      <c r="E86" s="4">
        <f>0.25*'NGER &amp; GHG Acct Factors'!E27+0.75*'NGER &amp; GHG Acct Factors'!E28</f>
        <v>5.5000000000000007E-2</v>
      </c>
      <c r="F86" s="4">
        <v>0.42500000000000004</v>
      </c>
      <c r="H86" s="4" t="s">
        <v>297</v>
      </c>
    </row>
    <row r="87" spans="1:8" x14ac:dyDescent="0.25">
      <c r="A87" s="4" t="str">
        <f>'NGER &amp; GHG Acct Factors'!A29</f>
        <v>Fuel oil</v>
      </c>
      <c r="B87" s="4">
        <f>'NGER &amp; GHG Acct Factors'!B29</f>
        <v>39.700000000000003</v>
      </c>
      <c r="C87" s="11" t="str">
        <f>'NGER &amp; GHG Acct Factors'!C29</f>
        <v>GJ/kL</v>
      </c>
      <c r="D87" s="4">
        <f>'NGER &amp; GHG Acct Factors'!D29</f>
        <v>73.599999999999994</v>
      </c>
      <c r="E87" s="4">
        <f>'NGER &amp; GHG Acct Factors'!E29</f>
        <v>0.08</v>
      </c>
      <c r="F87" s="4">
        <f>'NGER &amp; GHG Acct Factors'!F29</f>
        <v>0.5</v>
      </c>
      <c r="H87" s="4" t="s">
        <v>296</v>
      </c>
    </row>
    <row r="88" spans="1:8" x14ac:dyDescent="0.25">
      <c r="A88" s="4" t="str">
        <f>'NGER &amp; GHG Acct Factors'!A30</f>
        <v>Liquefied petroleum gas</v>
      </c>
      <c r="B88" s="4">
        <f>'NGER &amp; GHG Acct Factors'!B30</f>
        <v>26.2</v>
      </c>
      <c r="C88" s="11" t="str">
        <f>'NGER &amp; GHG Acct Factors'!C30</f>
        <v>GJ/kL</v>
      </c>
      <c r="D88" s="4">
        <f>'NGER &amp; GHG Acct Factors'!D30</f>
        <v>60.2</v>
      </c>
      <c r="E88" s="4">
        <f>'NGER &amp; GHG Acct Factors'!E30</f>
        <v>0.7</v>
      </c>
      <c r="F88" s="4">
        <f>'NGER &amp; GHG Acct Factors'!F30</f>
        <v>0.6</v>
      </c>
      <c r="H88" s="3" t="s">
        <v>311</v>
      </c>
    </row>
    <row r="89" spans="1:8" x14ac:dyDescent="0.25">
      <c r="A89" s="4" t="str">
        <f>'NGER &amp; GHG Acct Factors'!A31</f>
        <v>Biodiesel</v>
      </c>
      <c r="B89" s="4">
        <f>'NGER &amp; GHG Acct Factors'!B31</f>
        <v>34.6</v>
      </c>
      <c r="C89" s="11" t="str">
        <f>'NGER &amp; GHG Acct Factors'!C31</f>
        <v>GJ/kL</v>
      </c>
      <c r="D89" s="4">
        <f>'NGER &amp; GHG Acct Factors'!D31</f>
        <v>0</v>
      </c>
      <c r="E89" s="4">
        <f>'NGER &amp; GHG Acct Factors'!E31</f>
        <v>0.8</v>
      </c>
      <c r="F89" s="4">
        <f>'NGER &amp; GHG Acct Factors'!F31</f>
        <v>1.7</v>
      </c>
      <c r="H89" t="s">
        <v>309</v>
      </c>
    </row>
    <row r="90" spans="1:8" x14ac:dyDescent="0.25">
      <c r="A90" s="4" t="str">
        <f>'NGER &amp; GHG Acct Factors'!A32</f>
        <v>Ethanol for use as fuel in an ICE</v>
      </c>
      <c r="B90" s="4">
        <f>'NGER &amp; GHG Acct Factors'!B32</f>
        <v>23.4</v>
      </c>
      <c r="C90" s="11" t="str">
        <f>'NGER &amp; GHG Acct Factors'!C32</f>
        <v>GJ/kL</v>
      </c>
      <c r="D90" s="4">
        <f>'NGER &amp; GHG Acct Factors'!D32</f>
        <v>0</v>
      </c>
      <c r="E90" s="4">
        <f>'NGER &amp; GHG Acct Factors'!E32</f>
        <v>0.8</v>
      </c>
      <c r="F90" s="4">
        <f>'NGER &amp; GHG Acct Factors'!F32</f>
        <v>1.7</v>
      </c>
      <c r="H90" t="s">
        <v>310</v>
      </c>
    </row>
    <row r="91" spans="1:8" ht="30" x14ac:dyDescent="0.25">
      <c r="A91" s="4" t="str">
        <f>'NGER &amp; GHG Acct Factors'!A33</f>
        <v>Other Biofuels</v>
      </c>
      <c r="B91" s="4">
        <f>'NGER &amp; GHG Acct Factors'!B33</f>
        <v>23.4</v>
      </c>
      <c r="C91" s="11" t="str">
        <f>'NGER &amp; GHG Acct Factors'!C33</f>
        <v>GJ/kL</v>
      </c>
      <c r="D91" s="4">
        <f>'NGER &amp; GHG Acct Factors'!D33</f>
        <v>0</v>
      </c>
      <c r="E91" s="4">
        <f>'NGER &amp; GHG Acct Factors'!E33</f>
        <v>0.8</v>
      </c>
      <c r="F91" s="4">
        <f>'NGER &amp; GHG Acct Factors'!F33</f>
        <v>1.7</v>
      </c>
      <c r="H91" s="34" t="s">
        <v>183</v>
      </c>
    </row>
    <row r="92" spans="1:8" x14ac:dyDescent="0.25">
      <c r="A92" s="4" t="str">
        <f>'NGER &amp; GHG Acct Factors'!A34</f>
        <v>CNG (Light Duty Vehicles)</v>
      </c>
      <c r="B92" s="4">
        <f>'NGER &amp; GHG Acct Factors'!B34</f>
        <v>3.9300000000000002E-2</v>
      </c>
      <c r="C92" s="11" t="str">
        <f>'NGER &amp; GHG Acct Factors'!C34</f>
        <v>GJ/m3</v>
      </c>
      <c r="D92" s="4">
        <f>'NGER &amp; GHG Acct Factors'!D34</f>
        <v>51.4</v>
      </c>
      <c r="E92" s="4">
        <f>'NGER &amp; GHG Acct Factors'!E34</f>
        <v>7.3</v>
      </c>
      <c r="F92" s="4">
        <f>'NGER &amp; GHG Acct Factors'!F34</f>
        <v>0.3</v>
      </c>
      <c r="H92" s="6" t="s">
        <v>90</v>
      </c>
    </row>
    <row r="93" spans="1:8" x14ac:dyDescent="0.25">
      <c r="A93" s="4" t="str">
        <f>'NGER &amp; GHG Acct Factors'!A35</f>
        <v>CNG (Heavy Duty Vehicles)</v>
      </c>
      <c r="B93" s="4">
        <f>'NGER &amp; GHG Acct Factors'!B35</f>
        <v>3.9300000000000002E-2</v>
      </c>
      <c r="C93" s="11" t="str">
        <f>'NGER &amp; GHG Acct Factors'!C35</f>
        <v>GJ/m3</v>
      </c>
      <c r="D93" s="4">
        <f>'NGER &amp; GHG Acct Factors'!D35</f>
        <v>51.4</v>
      </c>
      <c r="E93" s="4">
        <f>'NGER &amp; GHG Acct Factors'!E35</f>
        <v>2.8</v>
      </c>
      <c r="F93" s="4">
        <f>'NGER &amp; GHG Acct Factors'!F35</f>
        <v>0.3</v>
      </c>
      <c r="H93" s="22" t="s">
        <v>24</v>
      </c>
    </row>
    <row r="94" spans="1:8" x14ac:dyDescent="0.25">
      <c r="A94" s="8" t="str">
        <f>'NGER &amp; GHG Acct Factors'!A36</f>
        <v>Stationary Duty</v>
      </c>
      <c r="B94" s="4"/>
      <c r="C94" s="11"/>
      <c r="D94" s="4"/>
      <c r="E94" s="4"/>
      <c r="F94" s="4"/>
      <c r="H94" s="21" t="s">
        <v>91</v>
      </c>
    </row>
    <row r="95" spans="1:8" x14ac:dyDescent="0.25">
      <c r="A95" s="4" t="str">
        <f>'NGER &amp; GHG Acct Factors'!A37</f>
        <v>Gasoline (ie Petrol)</v>
      </c>
      <c r="B95" s="4">
        <f>'NGER &amp; GHG Acct Factors'!B37</f>
        <v>34.200000000000003</v>
      </c>
      <c r="C95" s="11" t="str">
        <f>'NGER &amp; GHG Acct Factors'!C37</f>
        <v>GJ/kL</v>
      </c>
      <c r="D95" s="4">
        <f>'NGER &amp; GHG Acct Factors'!D37</f>
        <v>67.400000000000006</v>
      </c>
      <c r="E95" s="4">
        <f>'NGER &amp; GHG Acct Factors'!E37</f>
        <v>0.2</v>
      </c>
      <c r="F95" s="4">
        <f>'NGER &amp; GHG Acct Factors'!F37</f>
        <v>0.2</v>
      </c>
      <c r="H95" s="21" t="s">
        <v>92</v>
      </c>
    </row>
    <row r="96" spans="1:8" x14ac:dyDescent="0.25">
      <c r="A96" s="4" t="str">
        <f>'NGER &amp; GHG Acct Factors'!A38</f>
        <v>Heating oil</v>
      </c>
      <c r="B96" s="4">
        <f>'NGER &amp; GHG Acct Factors'!B38</f>
        <v>37.299999999999997</v>
      </c>
      <c r="C96" s="11" t="str">
        <f>'NGER &amp; GHG Acct Factors'!C38</f>
        <v>GJ/kL</v>
      </c>
      <c r="D96" s="4">
        <f>'NGER &amp; GHG Acct Factors'!D38</f>
        <v>69.5</v>
      </c>
      <c r="E96" s="4">
        <f>'NGER &amp; GHG Acct Factors'!E38</f>
        <v>0.03</v>
      </c>
      <c r="F96" s="4">
        <f>'NGER &amp; GHG Acct Factors'!F38</f>
        <v>0.2</v>
      </c>
      <c r="H96" s="21" t="s">
        <v>93</v>
      </c>
    </row>
    <row r="97" spans="1:8" x14ac:dyDescent="0.25">
      <c r="A97" s="4" t="str">
        <f>'NGER &amp; GHG Acct Factors'!A39</f>
        <v>Diesel oil</v>
      </c>
      <c r="B97" s="4">
        <f>'NGER &amp; GHG Acct Factors'!B39</f>
        <v>38.6</v>
      </c>
      <c r="C97" s="11" t="str">
        <f>'NGER &amp; GHG Acct Factors'!C39</f>
        <v>GJ/kL</v>
      </c>
      <c r="D97" s="4">
        <f>'NGER &amp; GHG Acct Factors'!D39</f>
        <v>69.900000000000006</v>
      </c>
      <c r="E97" s="4">
        <f>'NGER &amp; GHG Acct Factors'!E39</f>
        <v>0.1</v>
      </c>
      <c r="F97" s="4">
        <f>'NGER &amp; GHG Acct Factors'!F39</f>
        <v>0.2</v>
      </c>
      <c r="H97" s="21" t="s">
        <v>94</v>
      </c>
    </row>
    <row r="98" spans="1:8" x14ac:dyDescent="0.25">
      <c r="A98" s="4" t="str">
        <f>'NGER &amp; GHG Acct Factors'!A40</f>
        <v>Fuel oil</v>
      </c>
      <c r="B98" s="4">
        <f>'NGER &amp; GHG Acct Factors'!B40</f>
        <v>39.700000000000003</v>
      </c>
      <c r="C98" s="11" t="str">
        <f>'NGER &amp; GHG Acct Factors'!C40</f>
        <v>GJ/kL</v>
      </c>
      <c r="D98" s="4">
        <f>'NGER &amp; GHG Acct Factors'!D40</f>
        <v>73.599999999999994</v>
      </c>
      <c r="E98" s="4">
        <f>'NGER &amp; GHG Acct Factors'!E40</f>
        <v>0.04</v>
      </c>
      <c r="F98" s="4">
        <f>'NGER &amp; GHG Acct Factors'!F40</f>
        <v>0.2</v>
      </c>
      <c r="H98" s="21" t="s">
        <v>95</v>
      </c>
    </row>
    <row r="99" spans="1:8" x14ac:dyDescent="0.25">
      <c r="A99" s="4" t="str">
        <f>'NGER &amp; GHG Acct Factors'!A41</f>
        <v>Liquefied petroleum gas</v>
      </c>
      <c r="B99" s="4">
        <f>'NGER &amp; GHG Acct Factors'!B41</f>
        <v>25.7</v>
      </c>
      <c r="C99" s="11" t="str">
        <f>'NGER &amp; GHG Acct Factors'!C41</f>
        <v>GJ/kL</v>
      </c>
      <c r="D99" s="4">
        <f>'NGER &amp; GHG Acct Factors'!D41</f>
        <v>60.2</v>
      </c>
      <c r="E99" s="4">
        <f>'NGER &amp; GHG Acct Factors'!E41</f>
        <v>0.2</v>
      </c>
      <c r="F99" s="4">
        <f>'NGER &amp; GHG Acct Factors'!F41</f>
        <v>0.2</v>
      </c>
      <c r="H99" s="23" t="s">
        <v>96</v>
      </c>
    </row>
    <row r="100" spans="1:8" x14ac:dyDescent="0.25">
      <c r="A100" s="4" t="str">
        <f>'NGER &amp; GHG Acct Factors'!A42</f>
        <v>Naphtha</v>
      </c>
      <c r="B100" s="4">
        <f>'NGER &amp; GHG Acct Factors'!B42</f>
        <v>31.4</v>
      </c>
      <c r="C100" s="11" t="str">
        <f>'NGER &amp; GHG Acct Factors'!C42</f>
        <v>GJ/kL</v>
      </c>
      <c r="D100" s="4">
        <f>'NGER &amp; GHG Acct Factors'!D42</f>
        <v>69.8</v>
      </c>
      <c r="E100" s="4">
        <f>'NGER &amp; GHG Acct Factors'!E42</f>
        <v>0.01</v>
      </c>
      <c r="F100" s="4">
        <f>'NGER &amp; GHG Acct Factors'!F42</f>
        <v>0.01</v>
      </c>
    </row>
    <row r="101" spans="1:8" x14ac:dyDescent="0.25">
      <c r="A101" s="4" t="str">
        <f>'NGER &amp; GHG Acct Factors'!A43</f>
        <v>Biodiesel</v>
      </c>
      <c r="B101" s="4">
        <f>'NGER &amp; GHG Acct Factors'!B43</f>
        <v>34.6</v>
      </c>
      <c r="C101" s="11" t="str">
        <f>'NGER &amp; GHG Acct Factors'!C43</f>
        <v>GJ/kL</v>
      </c>
      <c r="D101" s="4">
        <f>'NGER &amp; GHG Acct Factors'!D43</f>
        <v>0</v>
      </c>
      <c r="E101" s="4">
        <f>'NGER &amp; GHG Acct Factors'!E43</f>
        <v>0.08</v>
      </c>
      <c r="F101" s="4">
        <f>'NGER &amp; GHG Acct Factors'!F43</f>
        <v>0.2</v>
      </c>
      <c r="H101" s="3" t="s">
        <v>287</v>
      </c>
    </row>
    <row r="102" spans="1:8" x14ac:dyDescent="0.25">
      <c r="A102" s="4" t="str">
        <f>'NGER &amp; GHG Acct Factors'!A44</f>
        <v xml:space="preserve">Ethanol </v>
      </c>
      <c r="B102" s="4">
        <f>'NGER &amp; GHG Acct Factors'!B44</f>
        <v>23.4</v>
      </c>
      <c r="C102" s="11" t="str">
        <f>'NGER &amp; GHG Acct Factors'!C44</f>
        <v>GJ/kL</v>
      </c>
      <c r="D102" s="4">
        <f>'NGER &amp; GHG Acct Factors'!D44</f>
        <v>0</v>
      </c>
      <c r="E102" s="4">
        <f>'NGER &amp; GHG Acct Factors'!E44</f>
        <v>0.08</v>
      </c>
      <c r="F102" s="4">
        <f>'NGER &amp; GHG Acct Factors'!F44</f>
        <v>0.2</v>
      </c>
      <c r="H102" s="4" t="s">
        <v>312</v>
      </c>
    </row>
    <row r="103" spans="1:8" x14ac:dyDescent="0.25">
      <c r="A103" s="4" t="str">
        <f>'NGER &amp; GHG Acct Factors'!A45</f>
        <v>Other biofuels</v>
      </c>
      <c r="B103" s="4">
        <f>'NGER &amp; GHG Acct Factors'!B45</f>
        <v>23.4</v>
      </c>
      <c r="C103" s="11" t="str">
        <f>'NGER &amp; GHG Acct Factors'!C45</f>
        <v>GJ/kL</v>
      </c>
      <c r="D103" s="4">
        <f>'NGER &amp; GHG Acct Factors'!D45</f>
        <v>0</v>
      </c>
      <c r="E103" s="4">
        <f>'NGER &amp; GHG Acct Factors'!E45</f>
        <v>0.08</v>
      </c>
      <c r="F103" s="4">
        <f>'NGER &amp; GHG Acct Factors'!F45</f>
        <v>0.2</v>
      </c>
      <c r="H103" s="4" t="s">
        <v>289</v>
      </c>
    </row>
    <row r="104" spans="1:8" x14ac:dyDescent="0.25">
      <c r="A104" s="4" t="str">
        <f>'NGER &amp; GHG Acct Factors'!A46</f>
        <v>Natural gas (from pipeline)</v>
      </c>
      <c r="B104" s="4">
        <f>'NGER &amp; GHG Acct Factors'!B46</f>
        <v>3.9300000000000002E-2</v>
      </c>
      <c r="C104" s="11" t="str">
        <f>'NGER &amp; GHG Acct Factors'!C46</f>
        <v>GJ/m3</v>
      </c>
      <c r="D104" s="4">
        <f>'NGER &amp; GHG Acct Factors'!D46</f>
        <v>51.4</v>
      </c>
      <c r="E104" s="4">
        <f>'NGER &amp; GHG Acct Factors'!E46</f>
        <v>0.1</v>
      </c>
      <c r="F104" s="4">
        <f>'NGER &amp; GHG Acct Factors'!F46</f>
        <v>0.03</v>
      </c>
      <c r="H104" s="4" t="s">
        <v>288</v>
      </c>
    </row>
    <row r="105" spans="1:8" x14ac:dyDescent="0.25">
      <c r="A105" s="4" t="str">
        <f>'NGER &amp; GHG Acct Factors'!A47</f>
        <v>Landfill biogas used for combustion</v>
      </c>
      <c r="B105" s="4">
        <f>'NGER &amp; GHG Acct Factors'!B47</f>
        <v>3.7699999999999997E-2</v>
      </c>
      <c r="C105" s="11" t="str">
        <f>'NGER &amp; GHG Acct Factors'!C47</f>
        <v>GJ/m3</v>
      </c>
      <c r="D105" s="4">
        <f>'NGER &amp; GHG Acct Factors'!D47</f>
        <v>0</v>
      </c>
      <c r="E105" s="4">
        <f>'NGER &amp; GHG Acct Factors'!E47</f>
        <v>6.4</v>
      </c>
      <c r="F105" s="4">
        <f>'NGER &amp; GHG Acct Factors'!F47</f>
        <v>0.03</v>
      </c>
      <c r="H105" s="4" t="s">
        <v>23</v>
      </c>
    </row>
    <row r="106" spans="1:8" x14ac:dyDescent="0.25">
      <c r="A106" s="4" t="str">
        <f>'NGER &amp; GHG Acct Factors'!A48</f>
        <v>Dry wood</v>
      </c>
      <c r="B106" s="4">
        <f>'NGER &amp; GHG Acct Factors'!B48</f>
        <v>16.2</v>
      </c>
      <c r="C106" s="11" t="str">
        <f>'NGER &amp; GHG Acct Factors'!C48</f>
        <v>GJ/tonne</v>
      </c>
      <c r="D106" s="4">
        <f>'NGER &amp; GHG Acct Factors'!D48</f>
        <v>0</v>
      </c>
      <c r="E106" s="4">
        <f>'NGER &amp; GHG Acct Factors'!E48</f>
        <v>0.1</v>
      </c>
      <c r="F106" s="4">
        <f>'NGER &amp; GHG Acct Factors'!F48</f>
        <v>1.1000000000000001</v>
      </c>
      <c r="H106" s="4" t="str">
        <f>A20</f>
        <v>Outdoor Sporting &amp; Clubrooms</v>
      </c>
    </row>
    <row r="107" spans="1:8" x14ac:dyDescent="0.25">
      <c r="A107" s="4" t="str">
        <f>'NGER &amp; GHG Acct Factors'!A49</f>
        <v>Green and air dried wood</v>
      </c>
      <c r="B107" s="4">
        <f>'NGER &amp; GHG Acct Factors'!B49</f>
        <v>10.4</v>
      </c>
      <c r="C107" s="11" t="str">
        <f>'NGER &amp; GHG Acct Factors'!C49</f>
        <v>GJ/tonne</v>
      </c>
      <c r="D107" s="4">
        <f>'NGER &amp; GHG Acct Factors'!D49</f>
        <v>0</v>
      </c>
      <c r="E107" s="4">
        <f>'NGER &amp; GHG Acct Factors'!E49</f>
        <v>0.1</v>
      </c>
      <c r="F107" s="4">
        <f>'NGER &amp; GHG Acct Factors'!F49</f>
        <v>1.1000000000000001</v>
      </c>
      <c r="H107" s="4" t="s">
        <v>314</v>
      </c>
    </row>
    <row r="108" spans="1:8" ht="32.25" customHeight="1" x14ac:dyDescent="0.25">
      <c r="A108" s="4" t="str">
        <f>'NGER &amp; GHG Acct Factors'!A50</f>
        <v>Charcoal</v>
      </c>
      <c r="B108" s="4">
        <f>'NGER &amp; GHG Acct Factors'!B50</f>
        <v>31.1</v>
      </c>
      <c r="C108" s="11" t="str">
        <f>'NGER &amp; GHG Acct Factors'!C50</f>
        <v>GJ/tonne</v>
      </c>
      <c r="D108" s="4">
        <f>'NGER &amp; GHG Acct Factors'!D50</f>
        <v>0</v>
      </c>
      <c r="E108" s="4">
        <f>'NGER &amp; GHG Acct Factors'!E50</f>
        <v>5.3</v>
      </c>
      <c r="F108" s="4">
        <f>'NGER &amp; GHG Acct Factors'!F50</f>
        <v>1.1000000000000001</v>
      </c>
      <c r="H108" s="4" t="str">
        <f>A21</f>
        <v>Community Services &amp; Halls</v>
      </c>
    </row>
    <row r="109" spans="1:8" x14ac:dyDescent="0.25">
      <c r="A109" s="4" t="str">
        <f>'NGER &amp; GHG Acct Factors'!A51</f>
        <v>Coal briquettes</v>
      </c>
      <c r="B109" s="4">
        <f>'NGER &amp; GHG Acct Factors'!B51</f>
        <v>22.1</v>
      </c>
      <c r="C109" s="11" t="str">
        <f>'NGER &amp; GHG Acct Factors'!C51</f>
        <v>GJ/tonne</v>
      </c>
      <c r="D109" s="4">
        <f>'NGER &amp; GHG Acct Factors'!D51</f>
        <v>95</v>
      </c>
      <c r="E109" s="4">
        <f>'NGER &amp; GHG Acct Factors'!E51</f>
        <v>0.08</v>
      </c>
      <c r="F109" s="4">
        <f>'NGER &amp; GHG Acct Factors'!F51</f>
        <v>0.2</v>
      </c>
      <c r="H109" s="4" t="str">
        <f>A25</f>
        <v>Waste Facilities &amp; Transport</v>
      </c>
    </row>
    <row r="110" spans="1:8" ht="27.75" customHeight="1" x14ac:dyDescent="0.25">
      <c r="A110" s="212" t="s">
        <v>181</v>
      </c>
      <c r="B110" s="212"/>
      <c r="C110" s="212"/>
      <c r="D110" s="212"/>
      <c r="E110" s="212"/>
      <c r="F110" s="212"/>
      <c r="H110" s="4" t="str">
        <f>A23</f>
        <v>Carpark Operations &amp; Vehicle Chargers</v>
      </c>
    </row>
    <row r="111" spans="1:8" ht="30" customHeight="1" x14ac:dyDescent="0.25">
      <c r="A111" s="85" t="s">
        <v>322</v>
      </c>
      <c r="B111" s="86" t="s">
        <v>321</v>
      </c>
      <c r="C111" s="86" t="s">
        <v>331</v>
      </c>
      <c r="D111" s="38"/>
      <c r="E111" s="38"/>
      <c r="F111" s="38"/>
      <c r="H111" s="4" t="s">
        <v>578</v>
      </c>
    </row>
    <row r="112" spans="1:8" ht="15" customHeight="1" x14ac:dyDescent="0.25">
      <c r="A112" s="29" t="s">
        <v>91</v>
      </c>
      <c r="B112" s="29">
        <f>B86/1000</f>
        <v>3.8600000000000002E-2</v>
      </c>
      <c r="C112" s="29">
        <f>SUM(D86:F86)/1000</f>
        <v>7.0380000000000012E-2</v>
      </c>
      <c r="D112" s="38"/>
      <c r="E112" s="38"/>
      <c r="F112" s="38"/>
      <c r="H112" s="4" t="s">
        <v>75</v>
      </c>
    </row>
    <row r="113" spans="1:6" ht="15" customHeight="1" x14ac:dyDescent="0.25">
      <c r="A113" s="29" t="s">
        <v>92</v>
      </c>
      <c r="B113" s="29">
        <f>B85/1000</f>
        <v>3.4200000000000001E-2</v>
      </c>
      <c r="C113" s="29">
        <f>SUM(D85:F85)/1000</f>
        <v>6.9599999999999995E-2</v>
      </c>
      <c r="D113" s="38"/>
      <c r="E113" s="38"/>
      <c r="F113" s="38"/>
    </row>
    <row r="114" spans="1:6" ht="15" customHeight="1" x14ac:dyDescent="0.25">
      <c r="A114" s="4" t="s">
        <v>93</v>
      </c>
      <c r="B114" s="29">
        <f>(0.9*B85+0.1*B90)/1000</f>
        <v>3.3120000000000004E-2</v>
      </c>
      <c r="C114" s="87">
        <f>0.9*B85/1000/B114*SUM(D85:F85)/1000+0.1*B90/1000/B114*SUM(D90:F90)/1000</f>
        <v>6.4859239130434773E-2</v>
      </c>
      <c r="D114" s="38"/>
      <c r="E114" s="38"/>
      <c r="F114" s="38"/>
    </row>
    <row r="115" spans="1:6" ht="15" customHeight="1" x14ac:dyDescent="0.25">
      <c r="A115" s="29" t="s">
        <v>94</v>
      </c>
      <c r="B115" s="29">
        <f>B88/1000</f>
        <v>2.6199999999999998E-2</v>
      </c>
      <c r="C115" s="29">
        <f>SUM(D88:F88)/1000</f>
        <v>6.1500000000000006E-2</v>
      </c>
      <c r="D115" s="38"/>
      <c r="E115" s="38"/>
      <c r="F115" s="38"/>
    </row>
    <row r="116" spans="1:6" ht="15" customHeight="1" x14ac:dyDescent="0.25">
      <c r="A116" s="29" t="s">
        <v>95</v>
      </c>
      <c r="B116" s="29">
        <f>1</f>
        <v>1</v>
      </c>
      <c r="C116" s="29">
        <f>SUM(D93:F93)/1000</f>
        <v>5.4499999999999993E-2</v>
      </c>
      <c r="D116" s="38"/>
      <c r="E116" s="38"/>
      <c r="F116" s="38"/>
    </row>
    <row r="117" spans="1:6" ht="15" customHeight="1" x14ac:dyDescent="0.25">
      <c r="A117" s="29" t="s">
        <v>96</v>
      </c>
      <c r="B117" s="29">
        <f>0.0036</f>
        <v>3.5999999999999999E-3</v>
      </c>
      <c r="C117" s="87" t="e">
        <f>HLOOKUP(Summary!B9,B5:N6,2,FALSE)/3.6</f>
        <v>#N/A</v>
      </c>
      <c r="D117" s="38"/>
      <c r="E117" s="38"/>
      <c r="F117" s="38"/>
    </row>
    <row r="118" spans="1:6" ht="15" customHeight="1" x14ac:dyDescent="0.25">
      <c r="A118" s="29" t="str">
        <f>""</f>
        <v/>
      </c>
      <c r="B118" s="29">
        <v>0</v>
      </c>
      <c r="C118" s="87">
        <v>0</v>
      </c>
      <c r="D118" s="38"/>
      <c r="E118" s="38"/>
      <c r="F118" s="38"/>
    </row>
    <row r="119" spans="1:6" ht="6.75" customHeight="1" x14ac:dyDescent="0.25">
      <c r="D119" s="38"/>
      <c r="E119" s="38"/>
      <c r="F119" s="38"/>
    </row>
    <row r="120" spans="1:6" ht="28.5" customHeight="1" x14ac:dyDescent="0.25">
      <c r="A120" s="85" t="s">
        <v>323</v>
      </c>
      <c r="B120" s="86" t="str">
        <f>B111</f>
        <v>Energy Conversion Factor</v>
      </c>
      <c r="C120" s="86" t="str">
        <f>C111</f>
        <v>Emission Conversion Factor (From GJ)</v>
      </c>
      <c r="D120" s="38"/>
      <c r="E120" s="38"/>
      <c r="F120" s="38"/>
    </row>
    <row r="121" spans="1:6" ht="15" customHeight="1" x14ac:dyDescent="0.25">
      <c r="A121" s="29" t="s">
        <v>94</v>
      </c>
      <c r="B121" s="29">
        <f>B99/1000</f>
        <v>2.5700000000000001E-2</v>
      </c>
      <c r="C121" s="29">
        <f>SUM(D99:F99)/1000</f>
        <v>6.0600000000000008E-2</v>
      </c>
      <c r="D121" s="38"/>
      <c r="E121" s="38"/>
      <c r="F121" s="38"/>
    </row>
    <row r="122" spans="1:6" ht="15" customHeight="1" x14ac:dyDescent="0.25">
      <c r="A122" s="29" t="s">
        <v>328</v>
      </c>
      <c r="B122" s="29">
        <f>1</f>
        <v>1</v>
      </c>
      <c r="C122" s="29">
        <f>SUM(D104:F104)/1000</f>
        <v>5.1529999999999999E-2</v>
      </c>
      <c r="D122" s="38"/>
      <c r="E122" s="38"/>
      <c r="F122" s="38"/>
    </row>
    <row r="123" spans="1:6" ht="15" customHeight="1" x14ac:dyDescent="0.25">
      <c r="A123" s="29" t="s">
        <v>329</v>
      </c>
      <c r="B123" s="29">
        <f>B96/1000</f>
        <v>3.73E-2</v>
      </c>
      <c r="C123" s="29">
        <f>SUM(D96:F96)/1000</f>
        <v>6.973E-2</v>
      </c>
      <c r="D123" s="38"/>
      <c r="E123" s="38"/>
      <c r="F123" s="38"/>
    </row>
    <row r="124" spans="1:6" ht="15" customHeight="1" x14ac:dyDescent="0.25">
      <c r="A124" s="29" t="s">
        <v>91</v>
      </c>
      <c r="B124" s="29">
        <f>B97/1000</f>
        <v>3.8600000000000002E-2</v>
      </c>
      <c r="C124" s="29">
        <f>SUM(D86:F86)/1000</f>
        <v>7.0380000000000012E-2</v>
      </c>
      <c r="D124" s="38"/>
      <c r="E124" s="38"/>
      <c r="F124" s="38"/>
    </row>
    <row r="125" spans="1:6" ht="15.75" customHeight="1" x14ac:dyDescent="0.25">
      <c r="A125" s="29" t="s">
        <v>330</v>
      </c>
      <c r="B125" s="29">
        <f>B106</f>
        <v>16.2</v>
      </c>
      <c r="C125" s="29">
        <f>SUM(D106:F106)/1000</f>
        <v>1.2000000000000001E-3</v>
      </c>
      <c r="D125" s="38"/>
      <c r="E125" s="38"/>
      <c r="F125" s="38"/>
    </row>
    <row r="126" spans="1:6" ht="15" customHeight="1" x14ac:dyDescent="0.25">
      <c r="A126" s="38"/>
      <c r="B126" s="38"/>
      <c r="C126" s="38"/>
      <c r="D126" s="38"/>
      <c r="E126" s="38"/>
      <c r="F126" s="38"/>
    </row>
    <row r="127" spans="1:6" ht="12.75" customHeight="1" x14ac:dyDescent="0.25">
      <c r="A127" s="218" t="s">
        <v>378</v>
      </c>
      <c r="B127" s="218"/>
    </row>
    <row r="128" spans="1:6" x14ac:dyDescent="0.25">
      <c r="C128" s="209" t="s">
        <v>512</v>
      </c>
      <c r="D128" s="209"/>
    </row>
    <row r="129" spans="1:8" ht="30" x14ac:dyDescent="0.25">
      <c r="A129" s="8" t="str">
        <f t="shared" ref="A129:A141" si="3">H15</f>
        <v>List of Council Names</v>
      </c>
      <c r="B129" s="6" t="s">
        <v>163</v>
      </c>
      <c r="C129" s="6" t="s">
        <v>379</v>
      </c>
      <c r="D129" s="8" t="s">
        <v>511</v>
      </c>
      <c r="H129" s="34" t="s">
        <v>184</v>
      </c>
    </row>
    <row r="130" spans="1:8" x14ac:dyDescent="0.25">
      <c r="A130" s="4" t="str">
        <f t="shared" si="3"/>
        <v>Brighton Council</v>
      </c>
      <c r="B130" s="4" t="s">
        <v>148</v>
      </c>
      <c r="C130" s="4"/>
      <c r="D130" s="4"/>
      <c r="H130" s="33" t="s">
        <v>415</v>
      </c>
    </row>
    <row r="131" spans="1:8" x14ac:dyDescent="0.25">
      <c r="A131" s="4" t="str">
        <f t="shared" si="3"/>
        <v>Central Highlands Council</v>
      </c>
      <c r="B131" s="4" t="s">
        <v>159</v>
      </c>
      <c r="C131" s="4"/>
      <c r="D131" s="4"/>
      <c r="H131" s="25" t="s">
        <v>416</v>
      </c>
    </row>
    <row r="132" spans="1:8" x14ac:dyDescent="0.25">
      <c r="A132" s="4" t="str">
        <f t="shared" si="3"/>
        <v>Clarence City Council</v>
      </c>
      <c r="B132" s="4" t="s">
        <v>148</v>
      </c>
      <c r="C132" s="4"/>
      <c r="D132" s="4"/>
      <c r="H132" s="25" t="s">
        <v>417</v>
      </c>
    </row>
    <row r="133" spans="1:8" x14ac:dyDescent="0.25">
      <c r="A133" s="4" t="str">
        <f t="shared" si="3"/>
        <v>Derwent Valley Council</v>
      </c>
      <c r="B133" s="4" t="s">
        <v>158</v>
      </c>
      <c r="C133" s="4"/>
      <c r="D133" s="4"/>
      <c r="H133" s="25" t="s">
        <v>418</v>
      </c>
    </row>
    <row r="134" spans="1:8" x14ac:dyDescent="0.25">
      <c r="A134" s="4" t="str">
        <f t="shared" si="3"/>
        <v>Glamorgan Spring Bay Council</v>
      </c>
      <c r="B134" s="4" t="s">
        <v>148</v>
      </c>
      <c r="C134" s="4"/>
      <c r="D134" s="4"/>
    </row>
    <row r="135" spans="1:8" x14ac:dyDescent="0.25">
      <c r="A135" s="4" t="str">
        <f t="shared" si="3"/>
        <v>Glenorchy City Council</v>
      </c>
      <c r="B135" s="4" t="s">
        <v>149</v>
      </c>
      <c r="C135" s="4"/>
      <c r="D135" s="4" t="s">
        <v>142</v>
      </c>
      <c r="H135" s="33" t="s">
        <v>141</v>
      </c>
    </row>
    <row r="136" spans="1:8" x14ac:dyDescent="0.25">
      <c r="A136" s="4" t="str">
        <f t="shared" si="3"/>
        <v>Hobart City Council</v>
      </c>
      <c r="B136" s="4" t="s">
        <v>150</v>
      </c>
      <c r="C136" s="4" t="s">
        <v>142</v>
      </c>
      <c r="D136" s="4" t="s">
        <v>142</v>
      </c>
      <c r="H136" s="25" t="s">
        <v>142</v>
      </c>
    </row>
    <row r="137" spans="1:8" x14ac:dyDescent="0.25">
      <c r="A137" s="4" t="str">
        <f t="shared" si="3"/>
        <v>Huon Valley Council</v>
      </c>
      <c r="B137" s="4" t="s">
        <v>148</v>
      </c>
      <c r="C137" s="4"/>
      <c r="D137" s="4"/>
      <c r="H137" s="25" t="s">
        <v>143</v>
      </c>
    </row>
    <row r="138" spans="1:8" x14ac:dyDescent="0.25">
      <c r="A138" s="4" t="str">
        <f t="shared" si="3"/>
        <v>Kingborough Council</v>
      </c>
      <c r="B138" s="4" t="s">
        <v>148</v>
      </c>
      <c r="C138" s="4"/>
      <c r="D138" s="4" t="s">
        <v>142</v>
      </c>
    </row>
    <row r="139" spans="1:8" x14ac:dyDescent="0.25">
      <c r="A139" s="4" t="str">
        <f t="shared" si="3"/>
        <v>Sorell Council</v>
      </c>
      <c r="B139" s="4" t="s">
        <v>148</v>
      </c>
      <c r="C139" s="4"/>
      <c r="D139" s="4"/>
      <c r="H139" s="33" t="s">
        <v>163</v>
      </c>
    </row>
    <row r="140" spans="1:8" x14ac:dyDescent="0.25">
      <c r="A140" s="4" t="str">
        <f t="shared" si="3"/>
        <v>Southern Midlands Council</v>
      </c>
      <c r="B140" s="4" t="s">
        <v>148</v>
      </c>
      <c r="C140" s="4"/>
      <c r="D140" s="4"/>
      <c r="H140" s="25" t="s">
        <v>148</v>
      </c>
    </row>
    <row r="141" spans="1:8" x14ac:dyDescent="0.25">
      <c r="A141" s="4" t="str">
        <f t="shared" si="3"/>
        <v>Tasman Council</v>
      </c>
      <c r="B141" s="4" t="s">
        <v>148</v>
      </c>
      <c r="C141" s="4"/>
      <c r="D141" s="4"/>
      <c r="H141" s="25" t="s">
        <v>149</v>
      </c>
    </row>
    <row r="142" spans="1:8" x14ac:dyDescent="0.25">
      <c r="H142" s="25" t="s">
        <v>150</v>
      </c>
    </row>
    <row r="143" spans="1:8" ht="29.25" customHeight="1" x14ac:dyDescent="0.25">
      <c r="A143" s="220" t="s">
        <v>386</v>
      </c>
      <c r="B143" s="220"/>
      <c r="C143" s="220"/>
      <c r="D143" s="220"/>
      <c r="H143" s="25" t="s">
        <v>158</v>
      </c>
    </row>
    <row r="144" spans="1:8" x14ac:dyDescent="0.25">
      <c r="A144" s="8" t="s">
        <v>191</v>
      </c>
      <c r="C144" s="6" t="s">
        <v>189</v>
      </c>
      <c r="D144" s="6" t="s">
        <v>189</v>
      </c>
      <c r="E144" s="6" t="s">
        <v>202</v>
      </c>
      <c r="H144" s="25" t="s">
        <v>159</v>
      </c>
    </row>
    <row r="145" spans="1:22" ht="30" x14ac:dyDescent="0.25">
      <c r="B145" s="19" t="s">
        <v>396</v>
      </c>
      <c r="C145" s="19" t="s">
        <v>188</v>
      </c>
      <c r="D145" s="19" t="s">
        <v>190</v>
      </c>
      <c r="E145" s="19" t="s">
        <v>402</v>
      </c>
    </row>
    <row r="146" spans="1:22" x14ac:dyDescent="0.25">
      <c r="A146" s="98" t="s">
        <v>187</v>
      </c>
      <c r="B146" s="4"/>
      <c r="C146" s="6" t="s">
        <v>399</v>
      </c>
      <c r="D146" s="6" t="s">
        <v>399</v>
      </c>
      <c r="E146" s="6" t="s">
        <v>399</v>
      </c>
      <c r="H146" s="33" t="s">
        <v>499</v>
      </c>
    </row>
    <row r="147" spans="1:22" x14ac:dyDescent="0.25">
      <c r="A147" s="4" t="s">
        <v>148</v>
      </c>
      <c r="B147" s="95">
        <v>0.65</v>
      </c>
      <c r="C147" s="88">
        <f>E$179*(1-$B147)</f>
        <v>0.49227690403080004</v>
      </c>
      <c r="D147" s="88">
        <f>E$194*(1-B147)</f>
        <v>0.48813596823895228</v>
      </c>
      <c r="E147" s="88">
        <f>E$210*(1-B147)</f>
        <v>0.47530968658084605</v>
      </c>
      <c r="H147" s="25" t="str">
        <f>H136</f>
        <v>Composting</v>
      </c>
      <c r="I147" s="25">
        <f>B216</f>
        <v>4.5999999999999999E-2</v>
      </c>
    </row>
    <row r="148" spans="1:22" x14ac:dyDescent="0.25">
      <c r="A148" s="4" t="s">
        <v>159</v>
      </c>
      <c r="B148" s="95">
        <v>0</v>
      </c>
      <c r="C148" s="88">
        <f>E$179*(1-B148)</f>
        <v>1.4065054400880002</v>
      </c>
      <c r="D148" s="88">
        <f>E$194*(1-B148)</f>
        <v>1.3946741949684351</v>
      </c>
      <c r="E148" s="88">
        <f>E$210*(1-B148)</f>
        <v>1.3580276759452745</v>
      </c>
      <c r="H148" s="25" t="s">
        <v>498</v>
      </c>
      <c r="I148" s="25">
        <f>B219</f>
        <v>2.8000000000000001E-2</v>
      </c>
    </row>
    <row r="149" spans="1:22" x14ac:dyDescent="0.25">
      <c r="A149" s="4" t="s">
        <v>149</v>
      </c>
      <c r="B149" s="95">
        <v>0.65</v>
      </c>
      <c r="C149" s="88">
        <f>E$179*(1-B149)</f>
        <v>0.49227690403080004</v>
      </c>
      <c r="D149" s="88">
        <f>E$194*(1-B149)</f>
        <v>0.48813596823895228</v>
      </c>
      <c r="E149" s="88">
        <f>E$210*(1-B149)</f>
        <v>0.47530968658084605</v>
      </c>
      <c r="H149" s="25" t="s">
        <v>602</v>
      </c>
      <c r="I149" s="25">
        <v>0</v>
      </c>
    </row>
    <row r="150" spans="1:22" x14ac:dyDescent="0.25">
      <c r="A150" s="4" t="s">
        <v>150</v>
      </c>
      <c r="B150" s="95">
        <v>0.65</v>
      </c>
      <c r="C150" s="88">
        <f>E$179*(1-B150)</f>
        <v>0.49227690403080004</v>
      </c>
      <c r="D150" s="88">
        <f>E$194*(1-B150)</f>
        <v>0.48813596823895228</v>
      </c>
      <c r="E150" s="88">
        <f>E$210*(1-B150)</f>
        <v>0.47530968658084605</v>
      </c>
    </row>
    <row r="151" spans="1:22" x14ac:dyDescent="0.25">
      <c r="A151" s="4" t="s">
        <v>158</v>
      </c>
      <c r="B151" s="95">
        <v>0</v>
      </c>
      <c r="C151" s="88">
        <f>E$179*(1-B151)</f>
        <v>1.4065054400880002</v>
      </c>
      <c r="D151" s="88">
        <f>E$194*(1-B151)</f>
        <v>1.3946741949684351</v>
      </c>
      <c r="E151" s="88">
        <f>E$210*(1-B151)</f>
        <v>1.3580276759452745</v>
      </c>
      <c r="H151" s="168" t="s">
        <v>603</v>
      </c>
      <c r="I151" s="168">
        <v>3</v>
      </c>
    </row>
    <row r="152" spans="1:22" x14ac:dyDescent="0.25">
      <c r="A152" s="4" t="s">
        <v>601</v>
      </c>
      <c r="B152" s="95">
        <v>0</v>
      </c>
      <c r="C152" s="88">
        <f>E$179*(1-B152)</f>
        <v>1.4065054400880002</v>
      </c>
      <c r="D152" s="88">
        <f t="shared" ref="D152" si="4">E$194*(1-B152)</f>
        <v>1.3946741949684351</v>
      </c>
      <c r="E152" s="88">
        <f t="shared" ref="E152" si="5">E$210*(1-B152)</f>
        <v>1.3580276759452745</v>
      </c>
      <c r="H152" s="168" t="s">
        <v>604</v>
      </c>
      <c r="I152" s="168">
        <v>4</v>
      </c>
    </row>
    <row r="153" spans="1:22" x14ac:dyDescent="0.25">
      <c r="B153" s="167"/>
      <c r="C153" s="91"/>
      <c r="D153" s="91"/>
      <c r="E153" s="91"/>
      <c r="H153" s="168" t="s">
        <v>605</v>
      </c>
      <c r="I153" s="168">
        <v>5</v>
      </c>
    </row>
    <row r="154" spans="1:22" ht="31.5" customHeight="1" x14ac:dyDescent="0.25"/>
    <row r="155" spans="1:22" ht="51" customHeight="1" x14ac:dyDescent="0.25">
      <c r="A155" s="8" t="s">
        <v>348</v>
      </c>
      <c r="B155" s="102" t="s">
        <v>388</v>
      </c>
      <c r="C155" s="102" t="s">
        <v>394</v>
      </c>
      <c r="D155" s="102" t="s">
        <v>387</v>
      </c>
      <c r="E155" s="102" t="s">
        <v>592</v>
      </c>
      <c r="F155" s="102" t="s">
        <v>395</v>
      </c>
      <c r="G155" s="102" t="s">
        <v>593</v>
      </c>
      <c r="H155" s="8" t="s">
        <v>348</v>
      </c>
      <c r="I155" s="6" t="s">
        <v>367</v>
      </c>
      <c r="J155" s="6" t="s">
        <v>368</v>
      </c>
      <c r="K155" s="6" t="s">
        <v>360</v>
      </c>
      <c r="L155" s="6" t="s">
        <v>361</v>
      </c>
      <c r="R155" s="2"/>
      <c r="V155" s="2"/>
    </row>
    <row r="156" spans="1:22" ht="15.75" customHeight="1" x14ac:dyDescent="0.25">
      <c r="A156" s="4" t="s">
        <v>351</v>
      </c>
      <c r="B156" s="13">
        <f>'NGER &amp; GHG Acct Factors'!B59*'NGER &amp; GHG Acct Factors'!C59*'NGER &amp; GHG Acct Factors'!$B$70*1000*(1-'NGER &amp; GHG Acct Factors'!$B$71)*'NGER &amp; GHG Acct Factors'!$B$72</f>
        <v>75.751200000000011</v>
      </c>
      <c r="C156" s="88">
        <f>B156*28/1000</f>
        <v>2.1210336000000001</v>
      </c>
      <c r="D156" s="103">
        <f t="shared" ref="D156:D164" si="6">C156/(1-B$15)*((1-0.75)*(1-B$15))</f>
        <v>0.53025840000000002</v>
      </c>
      <c r="E156" s="103">
        <f>C156/(1-B$15)*((1-0.65)*(1-B$15))</f>
        <v>0.74236175999999998</v>
      </c>
      <c r="F156" s="103">
        <f t="shared" ref="F156:F164" si="7">D156+($C156-D156)*$B$86/1000</f>
        <v>0.59166232271999997</v>
      </c>
      <c r="G156" s="103">
        <f t="shared" ref="G156:G164" si="8">E156+($C156-E156)*$B$86/1000</f>
        <v>0.79557849302399997</v>
      </c>
      <c r="H156" s="4" t="s">
        <v>351</v>
      </c>
      <c r="I156" s="99">
        <v>0.35</v>
      </c>
      <c r="J156" s="99">
        <v>0.40300000000000002</v>
      </c>
      <c r="K156" s="99">
        <v>0.215</v>
      </c>
      <c r="L156" s="99">
        <v>0</v>
      </c>
      <c r="M156" s="100"/>
      <c r="N156" s="100"/>
      <c r="P156" s="100"/>
      <c r="U156" s="101"/>
    </row>
    <row r="157" spans="1:22" ht="15.75" customHeight="1" x14ac:dyDescent="0.25">
      <c r="A157" s="4" t="s">
        <v>352</v>
      </c>
      <c r="B157" s="13">
        <f>'NGER &amp; GHG Acct Factors'!B60*'NGER &amp; GHG Acct Factors'!C60*'NGER &amp; GHG Acct Factors'!$B$70*1000*(1-'NGER &amp; GHG Acct Factors'!$B$71)*'NGER &amp; GHG Acct Factors'!$B$72</f>
        <v>117.83520000000001</v>
      </c>
      <c r="C157" s="88">
        <f t="shared" ref="C157:C164" si="9">B157*28/1000</f>
        <v>3.2993856000000004</v>
      </c>
      <c r="D157" s="103">
        <f t="shared" si="6"/>
        <v>0.82484640000000009</v>
      </c>
      <c r="E157" s="103">
        <f t="shared" ref="E157:E164" si="10">C157/(1-B$15)*((1-0.65)*(1-B$15))</f>
        <v>1.15478496</v>
      </c>
      <c r="F157" s="103">
        <f t="shared" si="7"/>
        <v>0.92036361312000015</v>
      </c>
      <c r="G157" s="103">
        <f t="shared" si="8"/>
        <v>1.2375665447040001</v>
      </c>
      <c r="H157" s="4" t="s">
        <v>352</v>
      </c>
      <c r="I157" s="99">
        <v>0.13</v>
      </c>
      <c r="J157" s="99">
        <v>0.15</v>
      </c>
      <c r="K157" s="99">
        <v>0.155</v>
      </c>
      <c r="L157" s="99">
        <v>0.03</v>
      </c>
      <c r="M157" s="100"/>
      <c r="N157" s="100"/>
      <c r="P157" s="100"/>
      <c r="U157" s="101"/>
    </row>
    <row r="158" spans="1:22" ht="15.75" customHeight="1" x14ac:dyDescent="0.25">
      <c r="A158" s="4" t="s">
        <v>353</v>
      </c>
      <c r="B158" s="13">
        <f>'NGER &amp; GHG Acct Factors'!B61*'NGER &amp; GHG Acct Factors'!C61*'NGER &amp; GHG Acct Factors'!$B$70*1000*(1-'NGER &amp; GHG Acct Factors'!$B$71)*'NGER &amp; GHG Acct Factors'!$B$72</f>
        <v>56.512800000000006</v>
      </c>
      <c r="C158" s="88">
        <f t="shared" si="9"/>
        <v>1.5823584000000002</v>
      </c>
      <c r="D158" s="103">
        <f t="shared" si="6"/>
        <v>0.39558960000000004</v>
      </c>
      <c r="E158" s="103">
        <f t="shared" si="10"/>
        <v>0.55382544</v>
      </c>
      <c r="F158" s="103">
        <f t="shared" si="7"/>
        <v>0.44139887568000002</v>
      </c>
      <c r="G158" s="103">
        <f t="shared" si="8"/>
        <v>0.59352681225600001</v>
      </c>
      <c r="H158" s="4" t="s">
        <v>353</v>
      </c>
      <c r="I158" s="99">
        <v>0.16500000000000001</v>
      </c>
      <c r="J158" s="99">
        <v>3.9E-2</v>
      </c>
      <c r="K158" s="99">
        <v>0.04</v>
      </c>
      <c r="L158" s="99">
        <v>0.02</v>
      </c>
      <c r="M158" s="100"/>
      <c r="N158" s="100"/>
      <c r="P158" s="100"/>
      <c r="U158" s="101"/>
    </row>
    <row r="159" spans="1:22" ht="15.75" customHeight="1" x14ac:dyDescent="0.25">
      <c r="A159" s="4" t="s">
        <v>330</v>
      </c>
      <c r="B159" s="13">
        <f>'NGER &amp; GHG Acct Factors'!B62*'NGER &amp; GHG Acct Factors'!C62*'NGER &amp; GHG Acct Factors'!$B$70*1000*(1-'NGER &amp; GHG Acct Factors'!$B$71)*'NGER &amp; GHG Acct Factors'!$B$72</f>
        <v>59.458680000000008</v>
      </c>
      <c r="C159" s="88">
        <f t="shared" si="9"/>
        <v>1.6648430400000003</v>
      </c>
      <c r="D159" s="103">
        <f t="shared" si="6"/>
        <v>0.41621076000000007</v>
      </c>
      <c r="E159" s="103">
        <f t="shared" si="10"/>
        <v>0.58269506400000004</v>
      </c>
      <c r="F159" s="103">
        <f t="shared" si="7"/>
        <v>0.46440796600800005</v>
      </c>
      <c r="G159" s="103">
        <f t="shared" si="8"/>
        <v>0.62446597587360009</v>
      </c>
      <c r="H159" s="4" t="s">
        <v>330</v>
      </c>
      <c r="I159" s="99">
        <v>0.01</v>
      </c>
      <c r="J159" s="99">
        <v>1.2E-2</v>
      </c>
      <c r="K159" s="99">
        <v>0.125</v>
      </c>
      <c r="L159" s="99">
        <v>0.06</v>
      </c>
      <c r="M159" s="100"/>
      <c r="N159" s="100"/>
      <c r="P159" s="100"/>
      <c r="U159" s="101"/>
    </row>
    <row r="160" spans="1:22" ht="15.75" customHeight="1" x14ac:dyDescent="0.25">
      <c r="A160" s="4" t="s">
        <v>354</v>
      </c>
      <c r="B160" s="13">
        <f>'NGER &amp; GHG Acct Factors'!B63*'NGER &amp; GHG Acct Factors'!C63*'NGER &amp; GHG Acct Factors'!$B$70*1000*(1-'NGER &amp; GHG Acct Factors'!$B$71)*'NGER &amp; GHG Acct Factors'!$B$72</f>
        <v>72.144000000000005</v>
      </c>
      <c r="C160" s="88">
        <f t="shared" si="9"/>
        <v>2.020032</v>
      </c>
      <c r="D160" s="103">
        <f t="shared" si="6"/>
        <v>0.50500800000000001</v>
      </c>
      <c r="E160" s="103">
        <f t="shared" si="10"/>
        <v>0.70701119999999995</v>
      </c>
      <c r="F160" s="103">
        <f t="shared" si="7"/>
        <v>0.56348792640000001</v>
      </c>
      <c r="G160" s="103">
        <f t="shared" si="8"/>
        <v>0.75769380287999999</v>
      </c>
      <c r="H160" s="4" t="s">
        <v>354</v>
      </c>
      <c r="I160" s="99">
        <v>1.4999999999999999E-2</v>
      </c>
      <c r="J160" s="99">
        <v>1.7000000000000001E-2</v>
      </c>
      <c r="K160" s="99">
        <v>0.04</v>
      </c>
      <c r="L160" s="99">
        <v>0</v>
      </c>
      <c r="M160" s="100"/>
      <c r="N160" s="100"/>
      <c r="P160" s="100"/>
      <c r="U160" s="101"/>
    </row>
    <row r="161" spans="1:21" ht="15.75" customHeight="1" x14ac:dyDescent="0.25">
      <c r="A161" s="4" t="s">
        <v>355</v>
      </c>
      <c r="B161" s="13">
        <f>'NGER &amp; GHG Acct Factors'!B64*'NGER &amp; GHG Acct Factors'!C64*'NGER &amp; GHG Acct Factors'!$B$70*1000*(1-'NGER &amp; GHG Acct Factors'!$B$71)*'NGER &amp; GHG Acct Factors'!$B$72</f>
        <v>15.030000000000001</v>
      </c>
      <c r="C161" s="88">
        <f t="shared" si="9"/>
        <v>0.42084000000000005</v>
      </c>
      <c r="D161" s="103">
        <f t="shared" si="6"/>
        <v>0.10521000000000001</v>
      </c>
      <c r="E161" s="103">
        <f t="shared" si="10"/>
        <v>0.14729400000000001</v>
      </c>
      <c r="F161" s="103">
        <f t="shared" si="7"/>
        <v>0.11739331800000001</v>
      </c>
      <c r="G161" s="103">
        <f t="shared" si="8"/>
        <v>0.1578528756</v>
      </c>
      <c r="H161" s="4" t="s">
        <v>355</v>
      </c>
      <c r="I161" s="99">
        <v>0</v>
      </c>
      <c r="J161" s="99">
        <v>0</v>
      </c>
      <c r="K161" s="99">
        <v>1.4999999999999999E-2</v>
      </c>
      <c r="L161" s="99">
        <v>0</v>
      </c>
      <c r="M161" s="100"/>
      <c r="N161" s="100"/>
      <c r="P161" s="100"/>
      <c r="U161" s="101"/>
    </row>
    <row r="162" spans="1:21" ht="15.75" customHeight="1" x14ac:dyDescent="0.25">
      <c r="A162" s="4" t="s">
        <v>356</v>
      </c>
      <c r="B162" s="13">
        <f>'NGER &amp; GHG Acct Factors'!B65*'NGER &amp; GHG Acct Factors'!C65*'NGER &amp; GHG Acct Factors'!$B$70*1000*(1-'NGER &amp; GHG Acct Factors'!$B$71)*'NGER &amp; GHG Acct Factors'!$B$72</f>
        <v>72.144000000000005</v>
      </c>
      <c r="C162" s="88">
        <f t="shared" si="9"/>
        <v>2.020032</v>
      </c>
      <c r="D162" s="103">
        <f t="shared" si="6"/>
        <v>0.50500800000000001</v>
      </c>
      <c r="E162" s="103">
        <f t="shared" si="10"/>
        <v>0.70701119999999995</v>
      </c>
      <c r="F162" s="103">
        <f t="shared" si="7"/>
        <v>0.56348792640000001</v>
      </c>
      <c r="G162" s="103">
        <f t="shared" si="8"/>
        <v>0.75769380287999999</v>
      </c>
      <c r="H162" s="4" t="s">
        <v>356</v>
      </c>
      <c r="I162" s="99">
        <v>0.04</v>
      </c>
      <c r="J162" s="99">
        <v>4.5999999999999999E-2</v>
      </c>
      <c r="K162" s="99">
        <v>0</v>
      </c>
      <c r="L162" s="99">
        <v>0</v>
      </c>
      <c r="M162" s="100"/>
      <c r="N162" s="100"/>
      <c r="P162" s="100"/>
      <c r="U162" s="101"/>
    </row>
    <row r="163" spans="1:21" ht="15.75" customHeight="1" x14ac:dyDescent="0.25">
      <c r="A163" s="4" t="s">
        <v>357</v>
      </c>
      <c r="B163" s="13">
        <f>'NGER &amp; GHG Acct Factors'!B66*'NGER &amp; GHG Acct Factors'!C66*'NGER &amp; GHG Acct Factors'!$B$70*1000*(1-'NGER &amp; GHG Acct Factors'!$B$71)*'NGER &amp; GHG Acct Factors'!$B$72</f>
        <v>117.23400000000001</v>
      </c>
      <c r="C163" s="88">
        <f t="shared" si="9"/>
        <v>3.2825519999999999</v>
      </c>
      <c r="D163" s="103">
        <f t="shared" si="6"/>
        <v>0.82063799999999998</v>
      </c>
      <c r="E163" s="103">
        <f t="shared" si="10"/>
        <v>1.1488931999999998</v>
      </c>
      <c r="F163" s="103">
        <f t="shared" si="7"/>
        <v>0.91566788040000002</v>
      </c>
      <c r="G163" s="103">
        <f t="shared" si="8"/>
        <v>1.2312524296799998</v>
      </c>
      <c r="H163" s="4" t="s">
        <v>357</v>
      </c>
      <c r="I163" s="99">
        <v>0.01</v>
      </c>
      <c r="J163" s="99">
        <v>1.2E-2</v>
      </c>
      <c r="K163" s="99">
        <v>3.5000000000000003E-2</v>
      </c>
      <c r="L163" s="99">
        <v>0</v>
      </c>
      <c r="M163" s="100"/>
      <c r="N163" s="100"/>
      <c r="P163" s="100"/>
      <c r="U163" s="101"/>
    </row>
    <row r="164" spans="1:21" ht="15.75" customHeight="1" x14ac:dyDescent="0.25">
      <c r="A164" s="4" t="s">
        <v>358</v>
      </c>
      <c r="B164" s="13">
        <f>'NGER &amp; GHG Acct Factors'!B67*'NGER &amp; GHG Acct Factors'!C67*'NGER &amp; GHG Acct Factors'!$B$70*1000*(1-'NGER &amp; GHG Acct Factors'!$B$71)*'NGER &amp; GHG Acct Factors'!$B$72</f>
        <v>0</v>
      </c>
      <c r="C164" s="88">
        <f t="shared" si="9"/>
        <v>0</v>
      </c>
      <c r="D164" s="103">
        <f t="shared" si="6"/>
        <v>0</v>
      </c>
      <c r="E164" s="103">
        <f t="shared" si="10"/>
        <v>0</v>
      </c>
      <c r="F164" s="103">
        <f t="shared" si="7"/>
        <v>0</v>
      </c>
      <c r="G164" s="103">
        <f t="shared" si="8"/>
        <v>0</v>
      </c>
      <c r="H164" s="4" t="s">
        <v>358</v>
      </c>
      <c r="I164" s="99">
        <v>0.28000000000000003</v>
      </c>
      <c r="J164" s="99">
        <v>0.32100000000000001</v>
      </c>
      <c r="K164" s="99">
        <v>0.375</v>
      </c>
      <c r="L164" s="99">
        <v>0.89</v>
      </c>
      <c r="M164" s="100"/>
      <c r="N164" s="100"/>
      <c r="P164" s="100"/>
      <c r="U164" s="101"/>
    </row>
    <row r="165" spans="1:21" ht="15.75" customHeight="1" x14ac:dyDescent="0.25"/>
    <row r="166" spans="1:21" ht="15.75" customHeight="1" x14ac:dyDescent="0.25">
      <c r="A166" s="3" t="s">
        <v>400</v>
      </c>
    </row>
    <row r="167" spans="1:21" ht="36" customHeight="1" x14ac:dyDescent="0.25">
      <c r="A167" s="8" t="str">
        <f>A155</f>
        <v>Waste Type</v>
      </c>
      <c r="B167" s="6" t="str">
        <f>'NGER &amp; GHG Acct Factors'!B75</f>
        <v>MSW</v>
      </c>
      <c r="C167" s="6" t="str">
        <f>'NGER &amp; GHG Acct Factors'!C75</f>
        <v>C&amp;I</v>
      </c>
      <c r="D167" s="6" t="str">
        <f>'NGER &amp; GHG Acct Factors'!D75</f>
        <v>C&amp;D</v>
      </c>
      <c r="E167" s="19" t="s">
        <v>398</v>
      </c>
      <c r="I167" s="121"/>
      <c r="J167" s="122"/>
      <c r="K167" s="101"/>
    </row>
    <row r="168" spans="1:21" ht="15.75" customHeight="1" x14ac:dyDescent="0.25">
      <c r="A168" s="8"/>
      <c r="B168" s="105">
        <f>'NGER &amp; GHG Acct Factors'!B76</f>
        <v>0.56999999999999995</v>
      </c>
      <c r="C168" s="105">
        <f>'NGER &amp; GHG Acct Factors'!C76</f>
        <v>0.33</v>
      </c>
      <c r="D168" s="105">
        <f>'NGER &amp; GHG Acct Factors'!D76</f>
        <v>0.1</v>
      </c>
      <c r="E168" s="105">
        <f>SUM(B168:D168)</f>
        <v>0.99999999999999989</v>
      </c>
      <c r="I168" s="121"/>
      <c r="J168" s="121"/>
      <c r="K168" s="101"/>
    </row>
    <row r="169" spans="1:21" ht="15.75" customHeight="1" x14ac:dyDescent="0.25">
      <c r="A169" s="4" t="str">
        <f>A156</f>
        <v>Food waste</v>
      </c>
      <c r="B169" s="88">
        <f>$C156*$I156*B$168</f>
        <v>0.42314620319999996</v>
      </c>
      <c r="C169" s="88">
        <f>$C156*$K156*C$168</f>
        <v>0.15048733392000002</v>
      </c>
      <c r="D169" s="88">
        <f>$C156*$L156*D$168</f>
        <v>0</v>
      </c>
      <c r="E169" s="88">
        <f>SUM(B169:D169)</f>
        <v>0.57363353711999998</v>
      </c>
      <c r="I169" s="132"/>
      <c r="J169" s="121"/>
      <c r="K169" s="101"/>
    </row>
    <row r="170" spans="1:21" ht="15.75" customHeight="1" x14ac:dyDescent="0.25">
      <c r="A170" s="4" t="str">
        <f t="shared" ref="A170:A177" si="11">A157</f>
        <v>Paper and Cardboard</v>
      </c>
      <c r="B170" s="88">
        <f t="shared" ref="B170:B177" si="12">$C157*$I157*B$168</f>
        <v>0.24448447296</v>
      </c>
      <c r="C170" s="88">
        <f t="shared" ref="C170:C177" si="13">$C157*$K157*C$168</f>
        <v>0.16876357344000001</v>
      </c>
      <c r="D170" s="88">
        <f t="shared" ref="D170:D177" si="14">$C157*$L157*D$168</f>
        <v>9.898156800000002E-3</v>
      </c>
      <c r="E170" s="88">
        <f t="shared" ref="E170:E177" si="15">SUM(B170:D170)</f>
        <v>0.42314620320000002</v>
      </c>
      <c r="I170" s="121"/>
      <c r="J170" s="121"/>
      <c r="K170" s="101"/>
    </row>
    <row r="171" spans="1:21" ht="15.75" customHeight="1" x14ac:dyDescent="0.25">
      <c r="A171" s="4" t="str">
        <f t="shared" si="11"/>
        <v>Garden and park</v>
      </c>
      <c r="B171" s="88">
        <f t="shared" si="12"/>
        <v>0.14882080752000001</v>
      </c>
      <c r="C171" s="88">
        <f t="shared" si="13"/>
        <v>2.0887130880000004E-2</v>
      </c>
      <c r="D171" s="88">
        <f t="shared" si="14"/>
        <v>3.1647168000000004E-3</v>
      </c>
      <c r="E171" s="88">
        <f t="shared" si="15"/>
        <v>0.1728726552</v>
      </c>
      <c r="I171" s="121"/>
      <c r="J171" s="121"/>
      <c r="K171" s="101"/>
    </row>
    <row r="172" spans="1:21" ht="15.75" customHeight="1" x14ac:dyDescent="0.25">
      <c r="A172" s="4" t="str">
        <f t="shared" si="11"/>
        <v>Wood</v>
      </c>
      <c r="B172" s="88">
        <f t="shared" si="12"/>
        <v>9.4896053280000021E-3</v>
      </c>
      <c r="C172" s="88">
        <f t="shared" si="13"/>
        <v>6.8674775400000013E-2</v>
      </c>
      <c r="D172" s="88">
        <f t="shared" si="14"/>
        <v>9.9890582400000011E-3</v>
      </c>
      <c r="E172" s="88">
        <f t="shared" si="15"/>
        <v>8.8153438968000014E-2</v>
      </c>
      <c r="I172" s="121"/>
      <c r="J172" s="121"/>
      <c r="K172" s="101"/>
    </row>
    <row r="173" spans="1:21" ht="15.75" customHeight="1" x14ac:dyDescent="0.25">
      <c r="A173" s="4" t="str">
        <f t="shared" si="11"/>
        <v>Textiles</v>
      </c>
      <c r="B173" s="88">
        <f t="shared" si="12"/>
        <v>1.7271273599999998E-2</v>
      </c>
      <c r="C173" s="88">
        <f t="shared" si="13"/>
        <v>2.6664422400000002E-2</v>
      </c>
      <c r="D173" s="88">
        <f t="shared" si="14"/>
        <v>0</v>
      </c>
      <c r="E173" s="88">
        <f t="shared" si="15"/>
        <v>4.3935695999999996E-2</v>
      </c>
      <c r="I173" s="121"/>
      <c r="J173" s="121"/>
      <c r="K173" s="101"/>
    </row>
    <row r="174" spans="1:21" ht="15.75" customHeight="1" x14ac:dyDescent="0.25">
      <c r="A174" s="4" t="str">
        <f t="shared" si="11"/>
        <v>Sludge</v>
      </c>
      <c r="B174" s="88">
        <f t="shared" si="12"/>
        <v>0</v>
      </c>
      <c r="C174" s="88">
        <f t="shared" si="13"/>
        <v>2.0831580000000003E-3</v>
      </c>
      <c r="D174" s="88">
        <f t="shared" si="14"/>
        <v>0</v>
      </c>
      <c r="E174" s="88">
        <f t="shared" si="15"/>
        <v>2.0831580000000003E-3</v>
      </c>
      <c r="I174" s="121"/>
      <c r="J174" s="121"/>
      <c r="K174" s="101"/>
    </row>
    <row r="175" spans="1:21" ht="15.75" customHeight="1" x14ac:dyDescent="0.25">
      <c r="A175" s="4" t="str">
        <f t="shared" si="11"/>
        <v>Nappies</v>
      </c>
      <c r="B175" s="88">
        <f t="shared" si="12"/>
        <v>4.6056729599999999E-2</v>
      </c>
      <c r="C175" s="88">
        <f t="shared" si="13"/>
        <v>0</v>
      </c>
      <c r="D175" s="88">
        <f t="shared" si="14"/>
        <v>0</v>
      </c>
      <c r="E175" s="88">
        <f t="shared" si="15"/>
        <v>4.6056729599999999E-2</v>
      </c>
      <c r="I175" s="121"/>
      <c r="J175" s="121"/>
      <c r="K175" s="101"/>
    </row>
    <row r="176" spans="1:21" ht="15.75" customHeight="1" x14ac:dyDescent="0.25">
      <c r="A176" s="4" t="str">
        <f t="shared" si="11"/>
        <v>Rubber and leather</v>
      </c>
      <c r="B176" s="88">
        <f t="shared" si="12"/>
        <v>1.8710546399999996E-2</v>
      </c>
      <c r="C176" s="88">
        <f t="shared" si="13"/>
        <v>3.7913475600000003E-2</v>
      </c>
      <c r="D176" s="88">
        <f t="shared" si="14"/>
        <v>0</v>
      </c>
      <c r="E176" s="88">
        <f t="shared" si="15"/>
        <v>5.6624021999999996E-2</v>
      </c>
      <c r="I176" s="121"/>
      <c r="J176" s="121"/>
    </row>
    <row r="177" spans="1:9" ht="15.75" customHeight="1" x14ac:dyDescent="0.25">
      <c r="A177" s="4" t="str">
        <f t="shared" si="11"/>
        <v>Inert waste</v>
      </c>
      <c r="B177" s="88">
        <f t="shared" si="12"/>
        <v>0</v>
      </c>
      <c r="C177" s="88">
        <f t="shared" si="13"/>
        <v>0</v>
      </c>
      <c r="D177" s="88">
        <f t="shared" si="14"/>
        <v>0</v>
      </c>
      <c r="E177" s="88">
        <f t="shared" si="15"/>
        <v>0</v>
      </c>
      <c r="I177" s="121"/>
    </row>
    <row r="178" spans="1:9" ht="15.75" customHeight="1" x14ac:dyDescent="0.25">
      <c r="A178" s="4" t="s">
        <v>519</v>
      </c>
      <c r="B178" s="88">
        <f>SUM(B169:B177)</f>
        <v>0.90797963860800002</v>
      </c>
      <c r="C178" s="88">
        <f t="shared" ref="C178:D178" si="16">SUM(C169:C177)</f>
        <v>0.47547386964000005</v>
      </c>
      <c r="D178" s="88">
        <f t="shared" si="16"/>
        <v>2.3051931840000005E-2</v>
      </c>
      <c r="E178" s="4"/>
      <c r="I178" s="121"/>
    </row>
    <row r="179" spans="1:9" ht="15.75" customHeight="1" x14ac:dyDescent="0.25">
      <c r="C179" s="219" t="s">
        <v>397</v>
      </c>
      <c r="D179" s="219"/>
      <c r="E179" s="131">
        <f>SUM(E169:E177)</f>
        <v>1.4065054400880002</v>
      </c>
    </row>
    <row r="180" spans="1:9" ht="15.75" customHeight="1" x14ac:dyDescent="0.25">
      <c r="A180" s="3" t="s">
        <v>401</v>
      </c>
    </row>
    <row r="181" spans="1:9" ht="15.75" customHeight="1" x14ac:dyDescent="0.25">
      <c r="A181" t="s">
        <v>525</v>
      </c>
    </row>
    <row r="182" spans="1:9" ht="29.25" customHeight="1" x14ac:dyDescent="0.25">
      <c r="A182" s="8" t="str">
        <f>A167</f>
        <v>Waste Type</v>
      </c>
      <c r="B182" s="6" t="str">
        <f>B167</f>
        <v>MSW</v>
      </c>
      <c r="C182" s="6" t="str">
        <f t="shared" ref="C182:E182" si="17">C167</f>
        <v>C&amp;I</v>
      </c>
      <c r="D182" s="6" t="str">
        <f t="shared" si="17"/>
        <v>C&amp;D</v>
      </c>
      <c r="E182" s="19" t="str">
        <f t="shared" si="17"/>
        <v>Combined Waste Components</v>
      </c>
    </row>
    <row r="183" spans="1:9" x14ac:dyDescent="0.25">
      <c r="A183" s="4" t="s">
        <v>403</v>
      </c>
      <c r="B183" s="105">
        <f>B168*(1-I158)/(1-J158)/(B168*(1-$I158)/(1-$J158)+$C168+$D168)</f>
        <v>0.53526844958276165</v>
      </c>
      <c r="C183" s="105">
        <f>C168/(B168*(1-$I158)/(1-$J158)+$C168+$D168)</f>
        <v>0.35665444566904342</v>
      </c>
      <c r="D183" s="105">
        <f>D168/(1-L158)/(B168*(1-$I158)/(1-$J158)+$C168+$D168)</f>
        <v>0.11028275994713774</v>
      </c>
      <c r="E183" s="105">
        <f>SUM(B183:D183)</f>
        <v>1.0022056551989427</v>
      </c>
    </row>
    <row r="184" spans="1:9" x14ac:dyDescent="0.25">
      <c r="A184" s="4" t="str">
        <f>A169</f>
        <v>Food waste</v>
      </c>
      <c r="B184" s="88">
        <f>$C156*$J156*B$183</f>
        <v>0.45753491373373228</v>
      </c>
      <c r="C184" s="88">
        <f>$C156*$K156*C$183</f>
        <v>0.16264235351348436</v>
      </c>
      <c r="D184" s="88">
        <f>$C156*$L156*D$183</f>
        <v>0</v>
      </c>
      <c r="E184" s="88">
        <f>SUM(B184:D184)</f>
        <v>0.62017726724721667</v>
      </c>
    </row>
    <row r="185" spans="1:9" x14ac:dyDescent="0.25">
      <c r="A185" s="4" t="str">
        <f t="shared" ref="A185:A192" si="18">A170</f>
        <v>Paper and Cardboard</v>
      </c>
      <c r="B185" s="88">
        <f t="shared" ref="B185:B192" si="19">$C157*$J157*B$183</f>
        <v>0.26490855220315351</v>
      </c>
      <c r="C185" s="88">
        <f t="shared" ref="C185:C192" si="20">$C157*$K157*C$183</f>
        <v>0.18239478404354575</v>
      </c>
      <c r="D185" s="88">
        <f t="shared" ref="D185:D192" si="21">$C157*$L157*D$183</f>
        <v>1.0915960502935291E-2</v>
      </c>
      <c r="E185" s="88">
        <f t="shared" ref="E185:E192" si="22">SUM(B185:D185)</f>
        <v>0.45821929674963457</v>
      </c>
    </row>
    <row r="186" spans="1:9" x14ac:dyDescent="0.25">
      <c r="A186" s="4" t="str">
        <f t="shared" si="18"/>
        <v>Garden and park</v>
      </c>
      <c r="B186" s="88">
        <f t="shared" si="19"/>
        <v>3.3032474570638119E-2</v>
      </c>
      <c r="C186" s="88">
        <f t="shared" si="20"/>
        <v>2.2574206320070182E-2</v>
      </c>
      <c r="D186" s="88">
        <f t="shared" si="21"/>
        <v>3.4901370315507394E-3</v>
      </c>
      <c r="E186" s="88">
        <f t="shared" si="22"/>
        <v>5.9096817922259043E-2</v>
      </c>
    </row>
    <row r="187" spans="1:9" x14ac:dyDescent="0.25">
      <c r="A187" s="4" t="str">
        <f t="shared" si="18"/>
        <v>Wood</v>
      </c>
      <c r="B187" s="88">
        <f t="shared" si="19"/>
        <v>1.069365543383342E-2</v>
      </c>
      <c r="C187" s="88">
        <f t="shared" si="20"/>
        <v>7.4221708944645651E-2</v>
      </c>
      <c r="D187" s="88">
        <f t="shared" si="21"/>
        <v>1.1016209119798982E-2</v>
      </c>
      <c r="E187" s="88">
        <f t="shared" si="22"/>
        <v>9.593157349827805E-2</v>
      </c>
    </row>
    <row r="188" spans="1:9" x14ac:dyDescent="0.25">
      <c r="A188" s="4" t="str">
        <f t="shared" si="18"/>
        <v>Textiles</v>
      </c>
      <c r="B188" s="88">
        <f t="shared" si="19"/>
        <v>1.8381409744708609E-2</v>
      </c>
      <c r="C188" s="88">
        <f t="shared" si="20"/>
        <v>2.8818135727749165E-2</v>
      </c>
      <c r="D188" s="88">
        <f t="shared" si="21"/>
        <v>0</v>
      </c>
      <c r="E188" s="88">
        <f t="shared" si="22"/>
        <v>4.7199545472457777E-2</v>
      </c>
    </row>
    <row r="189" spans="1:9" x14ac:dyDescent="0.25">
      <c r="A189" s="4" t="str">
        <f t="shared" si="18"/>
        <v>Sludge</v>
      </c>
      <c r="B189" s="88">
        <f t="shared" si="19"/>
        <v>0</v>
      </c>
      <c r="C189" s="88">
        <f t="shared" si="20"/>
        <v>2.2514168537304037E-3</v>
      </c>
      <c r="D189" s="88">
        <f t="shared" si="21"/>
        <v>0</v>
      </c>
      <c r="E189" s="88">
        <f t="shared" si="22"/>
        <v>2.2514168537304037E-3</v>
      </c>
    </row>
    <row r="190" spans="1:9" x14ac:dyDescent="0.25">
      <c r="A190" s="4" t="str">
        <f t="shared" si="18"/>
        <v>Nappies</v>
      </c>
      <c r="B190" s="88">
        <f t="shared" si="19"/>
        <v>4.9737932250388001E-2</v>
      </c>
      <c r="C190" s="88">
        <f t="shared" si="20"/>
        <v>0</v>
      </c>
      <c r="D190" s="88">
        <f t="shared" si="21"/>
        <v>0</v>
      </c>
      <c r="E190" s="88">
        <f t="shared" si="22"/>
        <v>4.9737932250388001E-2</v>
      </c>
    </row>
    <row r="191" spans="1:9" x14ac:dyDescent="0.25">
      <c r="A191" s="4" t="str">
        <f t="shared" si="18"/>
        <v>Rubber and leather</v>
      </c>
      <c r="B191" s="88">
        <f t="shared" si="19"/>
        <v>2.1084558236577521E-2</v>
      </c>
      <c r="C191" s="88">
        <f t="shared" si="20"/>
        <v>4.0975786737893344E-2</v>
      </c>
      <c r="D191" s="88">
        <f t="shared" si="21"/>
        <v>0</v>
      </c>
      <c r="E191" s="88">
        <f t="shared" si="22"/>
        <v>6.2060344974470869E-2</v>
      </c>
    </row>
    <row r="192" spans="1:9" x14ac:dyDescent="0.25">
      <c r="A192" s="4" t="str">
        <f t="shared" si="18"/>
        <v>Inert waste</v>
      </c>
      <c r="B192" s="88">
        <f t="shared" si="19"/>
        <v>0</v>
      </c>
      <c r="C192" s="88">
        <f t="shared" si="20"/>
        <v>0</v>
      </c>
      <c r="D192" s="88">
        <f t="shared" si="21"/>
        <v>0</v>
      </c>
      <c r="E192" s="88">
        <f t="shared" si="22"/>
        <v>0</v>
      </c>
    </row>
    <row r="193" spans="1:8" x14ac:dyDescent="0.25">
      <c r="A193" s="4" t="s">
        <v>519</v>
      </c>
      <c r="B193" s="88">
        <f>SUM(B184:B192)</f>
        <v>0.85537349617303138</v>
      </c>
      <c r="C193" s="88">
        <f t="shared" ref="C193" si="23">SUM(C184:C192)</f>
        <v>0.51387839214111886</v>
      </c>
      <c r="D193" s="88">
        <f t="shared" ref="D193" si="24">SUM(D184:D192)</f>
        <v>2.5422306654285014E-2</v>
      </c>
      <c r="E193" s="4"/>
      <c r="H193" s="34"/>
    </row>
    <row r="194" spans="1:8" x14ac:dyDescent="0.25">
      <c r="C194" s="191" t="s">
        <v>397</v>
      </c>
      <c r="D194" s="191"/>
      <c r="E194" s="106">
        <f>SUM(E184:E192)</f>
        <v>1.3946741949684351</v>
      </c>
      <c r="H194" s="34"/>
    </row>
    <row r="195" spans="1:8" x14ac:dyDescent="0.25">
      <c r="A195" s="3" t="s">
        <v>404</v>
      </c>
      <c r="G195" s="108"/>
      <c r="H195" s="34"/>
    </row>
    <row r="196" spans="1:8" x14ac:dyDescent="0.25">
      <c r="A196" s="8" t="s">
        <v>405</v>
      </c>
      <c r="B196" s="105">
        <v>0.65</v>
      </c>
      <c r="C196" t="s">
        <v>527</v>
      </c>
      <c r="G196" s="107"/>
      <c r="H196" s="34"/>
    </row>
    <row r="197" spans="1:8" x14ac:dyDescent="0.25">
      <c r="A197" s="4" t="s">
        <v>526</v>
      </c>
      <c r="B197" s="105"/>
      <c r="G197" s="107"/>
      <c r="H197" s="34"/>
    </row>
    <row r="198" spans="1:8" ht="30" x14ac:dyDescent="0.25">
      <c r="A198" s="8" t="str">
        <f>A182</f>
        <v>Waste Type</v>
      </c>
      <c r="B198" s="6" t="str">
        <f>B182</f>
        <v>MSW</v>
      </c>
      <c r="C198" s="6" t="str">
        <f t="shared" ref="C198:E198" si="25">C182</f>
        <v>C&amp;I</v>
      </c>
      <c r="D198" s="6" t="str">
        <f t="shared" si="25"/>
        <v>C&amp;D</v>
      </c>
      <c r="E198" s="19" t="str">
        <f t="shared" si="25"/>
        <v>Combined Waste Components</v>
      </c>
      <c r="G198" s="19" t="s">
        <v>406</v>
      </c>
      <c r="H198" s="34"/>
    </row>
    <row r="199" spans="1:8" x14ac:dyDescent="0.25">
      <c r="A199" s="4" t="s">
        <v>403</v>
      </c>
      <c r="B199" s="96">
        <f>B183*(1-$J156)/(1-$G200)/(B183*(1-$J156)/(1-$G200)+$C183+$D183)</f>
        <v>0.45830453221868106</v>
      </c>
      <c r="C199" s="96">
        <f>C183/(B183*(1-$J156)/(1-$G200)+$C183+$D183)</f>
        <v>0.41375605640169705</v>
      </c>
      <c r="D199" s="96">
        <f>D183/(B183*(1-$J156)/(1-$G200)+$C183+$D183)</f>
        <v>0.12793941137962184</v>
      </c>
      <c r="E199" s="105">
        <f>SUM(B199:D199)</f>
        <v>0.99999999999999989</v>
      </c>
      <c r="G199" s="4"/>
      <c r="H199" s="34"/>
    </row>
    <row r="200" spans="1:8" x14ac:dyDescent="0.25">
      <c r="A200" s="4" t="str">
        <f t="shared" ref="A200:A208" si="26">A184</f>
        <v>Food waste</v>
      </c>
      <c r="B200" s="88">
        <f t="shared" ref="B200:B208" si="27">$C156*$J156*B$199</f>
        <v>0.3917479626828464</v>
      </c>
      <c r="C200" s="88">
        <f t="shared" ref="C200:C208" si="28">$C156*$K156*C$199</f>
        <v>0.18868195703377133</v>
      </c>
      <c r="D200" s="88">
        <f t="shared" ref="D200:D208" si="29">$C156*$L156*D$199</f>
        <v>0</v>
      </c>
      <c r="E200" s="88">
        <f>SUM(B200:D200)</f>
        <v>0.58042991971661773</v>
      </c>
      <c r="G200" s="99">
        <f>((J156*(1-B$196))/((J$156*(1-B$196))+SUM(J$157:J$164)))</f>
        <v>0.19111171329855703</v>
      </c>
      <c r="H200" s="34"/>
    </row>
    <row r="201" spans="1:8" x14ac:dyDescent="0.25">
      <c r="A201" s="4" t="str">
        <f t="shared" si="26"/>
        <v>Paper and Cardboard</v>
      </c>
      <c r="B201" s="88">
        <f t="shared" si="27"/>
        <v>0.22681850610255788</v>
      </c>
      <c r="C201" s="88">
        <f t="shared" si="28"/>
        <v>0.2115968200327048</v>
      </c>
      <c r="D201" s="88">
        <f t="shared" si="29"/>
        <v>1.2663643547352013E-2</v>
      </c>
      <c r="E201" s="88">
        <f t="shared" ref="E201:E208" si="30">SUM(B201:D201)</f>
        <v>0.45107896968261468</v>
      </c>
      <c r="G201" s="99">
        <f t="shared" ref="G201:G208" si="31">J157/((J$156*(1-B$196))+SUM(J$157:J$164))</f>
        <v>0.20323826299031231</v>
      </c>
      <c r="H201" s="34"/>
    </row>
    <row r="202" spans="1:8" x14ac:dyDescent="0.25">
      <c r="A202" s="4" t="str">
        <f t="shared" si="26"/>
        <v>Garden and park</v>
      </c>
      <c r="B202" s="88">
        <f t="shared" si="27"/>
        <v>2.8282879026257729E-2</v>
      </c>
      <c r="C202" s="88">
        <f t="shared" si="28"/>
        <v>2.6188414855923967E-2</v>
      </c>
      <c r="D202" s="88">
        <f t="shared" si="29"/>
        <v>4.0489200457520047E-3</v>
      </c>
      <c r="E202" s="88">
        <f t="shared" si="30"/>
        <v>5.8520213927933697E-2</v>
      </c>
      <c r="G202" s="99">
        <f t="shared" si="31"/>
        <v>5.2841948377481199E-2</v>
      </c>
      <c r="H202" s="34"/>
    </row>
    <row r="203" spans="1:8" x14ac:dyDescent="0.25">
      <c r="A203" s="4" t="str">
        <f t="shared" si="26"/>
        <v>Wood</v>
      </c>
      <c r="B203" s="88">
        <f t="shared" si="27"/>
        <v>9.156061327976724E-3</v>
      </c>
      <c r="C203" s="88">
        <f t="shared" si="28"/>
        <v>8.6104861344776615E-2</v>
      </c>
      <c r="D203" s="88">
        <f t="shared" si="29"/>
        <v>1.2779942314623614E-2</v>
      </c>
      <c r="E203" s="88">
        <f t="shared" si="30"/>
        <v>0.10804086498737694</v>
      </c>
      <c r="G203" s="99">
        <f t="shared" si="31"/>
        <v>1.6259061039224986E-2</v>
      </c>
      <c r="H203" s="34"/>
    </row>
    <row r="204" spans="1:8" x14ac:dyDescent="0.25">
      <c r="A204" s="4" t="str">
        <f t="shared" si="26"/>
        <v>Textiles</v>
      </c>
      <c r="B204" s="88">
        <f t="shared" si="27"/>
        <v>1.5738426954055036E-2</v>
      </c>
      <c r="C204" s="88">
        <f t="shared" si="28"/>
        <v>3.3432018965009316E-2</v>
      </c>
      <c r="D204" s="88">
        <f t="shared" si="29"/>
        <v>0</v>
      </c>
      <c r="E204" s="88">
        <f t="shared" si="30"/>
        <v>4.9170445919064353E-2</v>
      </c>
      <c r="G204" s="99">
        <f t="shared" si="31"/>
        <v>2.3033669805568729E-2</v>
      </c>
      <c r="H204" s="34"/>
    </row>
    <row r="205" spans="1:8" x14ac:dyDescent="0.25">
      <c r="A205" s="4" t="str">
        <f t="shared" si="26"/>
        <v>Sludge</v>
      </c>
      <c r="B205" s="88">
        <f t="shared" si="27"/>
        <v>0</v>
      </c>
      <c r="C205" s="88">
        <f t="shared" si="28"/>
        <v>2.6118764816413531E-3</v>
      </c>
      <c r="D205" s="88">
        <f t="shared" si="29"/>
        <v>0</v>
      </c>
      <c r="E205" s="88">
        <f t="shared" si="30"/>
        <v>2.6118764816413531E-3</v>
      </c>
      <c r="G205" s="99">
        <f t="shared" si="31"/>
        <v>0</v>
      </c>
      <c r="H205" s="34"/>
    </row>
    <row r="206" spans="1:8" x14ac:dyDescent="0.25">
      <c r="A206" s="4" t="str">
        <f t="shared" si="26"/>
        <v>Nappies</v>
      </c>
      <c r="B206" s="88">
        <f t="shared" si="27"/>
        <v>4.2586331758031275E-2</v>
      </c>
      <c r="C206" s="88">
        <f t="shared" si="28"/>
        <v>0</v>
      </c>
      <c r="D206" s="88">
        <f t="shared" si="29"/>
        <v>0</v>
      </c>
      <c r="E206" s="88">
        <f t="shared" si="30"/>
        <v>4.2586331758031275E-2</v>
      </c>
      <c r="G206" s="99">
        <f t="shared" si="31"/>
        <v>6.2326400650362442E-2</v>
      </c>
      <c r="H206" s="34"/>
    </row>
    <row r="207" spans="1:8" x14ac:dyDescent="0.25">
      <c r="A207" s="4" t="str">
        <f t="shared" si="26"/>
        <v>Rubber and leather</v>
      </c>
      <c r="B207" s="88">
        <f t="shared" si="27"/>
        <v>1.805290150612195E-2</v>
      </c>
      <c r="C207" s="88">
        <f t="shared" si="28"/>
        <v>4.7536151965872624E-2</v>
      </c>
      <c r="D207" s="88">
        <f t="shared" si="29"/>
        <v>0</v>
      </c>
      <c r="E207" s="88">
        <f t="shared" si="30"/>
        <v>6.5589053471994577E-2</v>
      </c>
      <c r="G207" s="99">
        <f t="shared" si="31"/>
        <v>1.6259061039224986E-2</v>
      </c>
      <c r="H207" s="34"/>
    </row>
    <row r="208" spans="1:8" x14ac:dyDescent="0.25">
      <c r="A208" s="4" t="str">
        <f t="shared" si="26"/>
        <v>Inert waste</v>
      </c>
      <c r="B208" s="88">
        <f t="shared" si="27"/>
        <v>0</v>
      </c>
      <c r="C208" s="88">
        <f t="shared" si="28"/>
        <v>0</v>
      </c>
      <c r="D208" s="88">
        <f t="shared" si="29"/>
        <v>0</v>
      </c>
      <c r="E208" s="88">
        <f t="shared" si="30"/>
        <v>0</v>
      </c>
      <c r="G208" s="99">
        <f t="shared" si="31"/>
        <v>0.43492988279926836</v>
      </c>
      <c r="H208" s="34"/>
    </row>
    <row r="209" spans="1:8" x14ac:dyDescent="0.25">
      <c r="A209" s="4" t="s">
        <v>519</v>
      </c>
      <c r="B209" s="88">
        <f>SUM(B200:B208)</f>
        <v>0.73238306935784692</v>
      </c>
      <c r="C209" s="88">
        <f t="shared" ref="C209" si="32">SUM(C200:C208)</f>
        <v>0.59615210067970004</v>
      </c>
      <c r="D209" s="88">
        <f t="shared" ref="D209" si="33">SUM(D200:D208)</f>
        <v>2.9492505907727631E-2</v>
      </c>
      <c r="E209" s="4"/>
      <c r="G209" s="100"/>
      <c r="H209" s="34"/>
    </row>
    <row r="210" spans="1:8" x14ac:dyDescent="0.25">
      <c r="C210" s="191" t="s">
        <v>397</v>
      </c>
      <c r="D210" s="191"/>
      <c r="E210" s="106">
        <f>SUM(E200:E208)</f>
        <v>1.3580276759452745</v>
      </c>
    </row>
    <row r="211" spans="1:8" x14ac:dyDescent="0.25">
      <c r="A211" s="3" t="s">
        <v>195</v>
      </c>
    </row>
    <row r="212" spans="1:8" ht="30" x14ac:dyDescent="0.25">
      <c r="A212" s="8" t="s">
        <v>192</v>
      </c>
      <c r="B212" s="19" t="s">
        <v>196</v>
      </c>
    </row>
    <row r="213" spans="1:8" x14ac:dyDescent="0.25">
      <c r="A213" s="58" t="str">
        <f>H137</f>
        <v>Mulching only</v>
      </c>
      <c r="B213" s="128">
        <v>0</v>
      </c>
    </row>
    <row r="214" spans="1:8" x14ac:dyDescent="0.25">
      <c r="A214" s="4" t="s">
        <v>500</v>
      </c>
      <c r="B214" s="4">
        <f>'NGER &amp; GHG Acct Factors'!B81</f>
        <v>2.1000000000000001E-2</v>
      </c>
    </row>
    <row r="215" spans="1:8" x14ac:dyDescent="0.25">
      <c r="A215" s="4" t="s">
        <v>501</v>
      </c>
      <c r="B215" s="4">
        <f>'NGER &amp; GHG Acct Factors'!B82</f>
        <v>2.5000000000000001E-2</v>
      </c>
    </row>
    <row r="216" spans="1:8" x14ac:dyDescent="0.25">
      <c r="A216" s="58" t="str">
        <f>H147</f>
        <v>Composting</v>
      </c>
      <c r="B216" s="58">
        <f>SUM(B214:B215)</f>
        <v>4.5999999999999999E-2</v>
      </c>
    </row>
    <row r="217" spans="1:8" x14ac:dyDescent="0.25">
      <c r="A217" s="4" t="s">
        <v>502</v>
      </c>
      <c r="B217" s="4">
        <f>'NGER &amp; GHG Acct Factors'!B84</f>
        <v>2.8000000000000001E-2</v>
      </c>
    </row>
    <row r="218" spans="1:8" x14ac:dyDescent="0.25">
      <c r="A218" s="4" t="s">
        <v>503</v>
      </c>
      <c r="B218" s="4">
        <f>'NGER &amp; GHG Acct Factors'!B85</f>
        <v>0</v>
      </c>
    </row>
    <row r="219" spans="1:8" x14ac:dyDescent="0.25">
      <c r="A219" s="58" t="str">
        <f>H148</f>
        <v>Anaerobic Digestion</v>
      </c>
      <c r="B219" s="58">
        <f>SUM(B217:B218)</f>
        <v>2.8000000000000001E-2</v>
      </c>
    </row>
    <row r="228" spans="8:8" x14ac:dyDescent="0.25">
      <c r="H228" s="38"/>
    </row>
    <row r="229" spans="8:8" x14ac:dyDescent="0.25">
      <c r="H229" s="38"/>
    </row>
  </sheetData>
  <sheetProtection algorithmName="SHA-512" hashValue="d7nvTy1DkeuFu6dX+Nlyp6O0QzI8/ZZS6Fjahi9g+LoZmfrPbIlYMWL06bBxLDqNXZbY9N5vScThbKpJOHPDqQ==" saltValue="rHhBCJl13VkaT4v+cGQ15w==" spinCount="100000" sheet="1" objects="1" scenarios="1" selectLockedCells="1" selectUnlockedCells="1"/>
  <mergeCells count="9">
    <mergeCell ref="C210:D210"/>
    <mergeCell ref="A110:F110"/>
    <mergeCell ref="C128:D128"/>
    <mergeCell ref="D83:F83"/>
    <mergeCell ref="C30:G30"/>
    <mergeCell ref="A127:B127"/>
    <mergeCell ref="C179:D179"/>
    <mergeCell ref="A143:D143"/>
    <mergeCell ref="C194:D194"/>
  </mergeCells>
  <phoneticPr fontId="9" type="noConversion"/>
  <pageMargins left="0.7" right="0.7" top="0.75" bottom="0.75" header="0.3" footer="0.3"/>
  <pageSetup paperSize="9" orientation="portrait" r:id="rId1"/>
  <ignoredErrors>
    <ignoredError sqref="B216" formulaRange="1"/>
    <ignoredError sqref="H109" formula="1"/>
  </ignoredErrors>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L M D A A B Q S w M E F A A C A A g A Q l 7 e V I 2 I G 2 q k A A A A 9 w A A A B I A H A B D b 2 5 m a W c v U G F j a 2 F n Z S 5 4 b W w g o h g A K K A U A A A A A A A A A A A A A A A A A A A A A A A A A A A A h Y 9 N C s I w G E S v U r J v / k S Q 8 j V F 3 F o Q R H E b 0 t g G 2 1 S a 1 P R u L j y S V 7 C i V X c u 5 8 1 b z N y v N 8 i G p o 4 u u n O m t S l i m K J I W 9 U W x p Y p 6 v 0 x X q B M w E a q k y x 1 N M r W J Y M r U l R 5 f 0 4 I C S H g M M N t V x J O K S O H f L 1 V l W 4 k + s j m v x w b 6 7 y 0 S i M B + 9 c Y w T G j c 8 w 4 5 5 g C m S j k x n 4 N P g 5 + t j 8 Q V n 3 t + 0 4 L b e P l D s g U g b x P i A d Q S w M E F A A C A A g A Q l 7 e 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J e 3 l T n d v O j r Q A A A K I B A A A T A B w A R m 9 y b X V s Y X M v U 2 V j d G l v b j E u b S C i G A A o o B Q A A A A A A A A A A A A A A A A A A A A A A A A A A A D V j 7 E K g z A Q h v d A 3 u G I i 4 I I d i 1 O o W s X h Q 7 i E O 2 1 i j E p S Q S L + O 6 N T Y c O f Y H e c v D / / 3 1 3 Z 7 F z g 1 Z Q h p 4 f K a H E 9 s L g F S r R S s y h A I m O E v B V 6 t l 0 6 J X T 0 q H M + G w M K n f R Z m y 1 H u N k r c 9 i w o K F S d Z s N d f K + U i T B k D E e C / U f Y c / H 8 g 8 6 R 3 N K i O U v W k z c S 3 n S e 2 m j c O 2 d F 1 Z U H O W g v M O O F z c t i W U D O o n 9 v u J 6 H M M x I e E / e M v L 1 B L A Q I t A B Q A A g A I A E J e 3 l S N i B t q p A A A A P c A A A A S A A A A A A A A A A A A A A A A A A A A A A B D b 2 5 m a W c v U G F j a 2 F n Z S 5 4 b W x Q S w E C L Q A U A A I A C A B C X t 5 U D 8 r p q 6 Q A A A D p A A A A E w A A A A A A A A A A A A A A A A D w A A A A W 0 N v b n R l b n R f V H l w Z X N d L n h t b F B L A Q I t A B Q A A g A I A E J e 3 l T n d v O j r Q A A A K I B A A A T A A A A A A A A A A A A A A A A A O E B A A B G b 3 J t d W x h c y 9 T Z W N 0 a W 9 u M S 5 t U E s F B g A A A A A D A A M A w g A A A N s 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c O A A A A A A A A J Q 4 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U Y W J s Z 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N C I g L z 4 8 R W 5 0 c n k g V H l w Z T 0 i R m l s b E V y c m 9 y Q 2 9 k Z S I g V m F s d W U 9 I n N V b m t u b 3 d u I i A v P j x F b n R y e S B U e X B l P S J G a W x s R X J y b 3 J D b 3 V u d C I g V m F s d W U 9 I m w w I i A v P j x F b n R y e S B U e X B l P S J G a W x s T G F z d F V w Z G F 0 Z W Q i I F Z h b H V l P S J k M j A y M i 0 w N i 0 y O V Q w N D o x O T o 0 M S 4 w N z k 1 O D c 3 W i I g L z 4 8 R W 5 0 c n k g V H l w Z T 0 i R m l s b E N v b H V t b l R 5 c G V z I i B W Y W x 1 Z T 0 i c 0 J n 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x l M S 9 B d X R v U m V t b 3 Z l Z E N v b H V t b n M x L n t D b 2 x 1 b W 4 x L D B 9 J n F 1 b 3 Q 7 X S w m c X V v d D t D b 2 x 1 b W 5 D b 3 V u d C Z x d W 9 0 O z o x L C Z x d W 9 0 O 0 t l e U N v b H V t b k 5 h b W V z J n F 1 b 3 Q 7 O l t d L C Z x d W 9 0 O 0 N v b H V t b k l k Z W 5 0 a X R p Z X M m c X V v d D s 6 W y Z x d W 9 0 O 1 N l Y 3 R p b 2 4 x L 1 R h Y m x l M S 9 B d X R v U m V t b 3 Z l Z E N v b H V t b n M x L n t D b 2 x 1 b W 4 x L D B 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S X R l b T 4 8 S X R l b U x v Y 2 F 0 a W 9 u P j x J d G V t V H l w Z T 5 G b 3 J t d W x h P C 9 J d G V t V H l w Z T 4 8 S X R l b V B h d G g + U 2 V j d G l v b j E v V G F i b G U x 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Y i I C 8 + P E V u d H J 5 I F R 5 c G U 9 I k Z p b G x F c n J v c k N v Z G U i I F Z h b H V l P S J z V W 5 r b m 9 3 b i I g L z 4 8 R W 5 0 c n k g V H l w Z T 0 i R m l s b E V y c m 9 y Q 2 9 1 b n Q i I F Z h b H V l P S J s M C I g L z 4 8 R W 5 0 c n k g V H l w Z T 0 i R m l s b E x h c 3 R V c G R h d G V k I i B W Y W x 1 Z T 0 i Z D I w M j I t M D Y t M z B U M D E 6 M D c 6 N T Y u M j U x O D M 2 M l o i I C 8 + P E V u d H J 5 I F R 5 c G U 9 I k Z p b G x D b 2 x 1 b W 5 U e X B l c y I g V m F s d W U 9 I n N C Z z 0 9 I i A v P j x F b n R y e S B U e X B l P S J G a W x s Q 2 9 s d W 1 u T m F t Z X M i I F Z h b H V l P S J z W y Z x d W 9 0 O 0 N v b H V t b j 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E g K D I p L 0 F 1 d G 9 S Z W 1 v d m V k Q 2 9 s d W 1 u c z E u e 0 N v b H V t b j E s M H 0 m c X V v d D t d L C Z x d W 9 0 O 0 N v b H V t b k N v d W 5 0 J n F 1 b 3 Q 7 O j E s J n F 1 b 3 Q 7 S 2 V 5 Q 2 9 s d W 1 u T m F t Z X M m c X V v d D s 6 W 1 0 s J n F 1 b 3 Q 7 Q 2 9 s d W 1 u S W R l b n R p d G l l c y Z x d W 9 0 O z p b J n F 1 b 3 Q 7 U 2 V j d G l v b j E v V G F i b G U x I C g y K S 9 B d X R v U m V t b 3 Z l Z E N v b H V t b n M x L n t D b 2 x 1 b W 4 x L D B 9 J n F 1 b 3 Q 7 X S w m c X V v d D t S Z W x h d G l v b n N o a X B J b m Z v J n F 1 b 3 Q 7 O l t d f S I g L z 4 8 L 1 N 0 Y W J s Z U V u d H J p Z X M + P C 9 J d G V t P j x J d G V t P j x J d G V t T G 9 j Y X R p b 2 4 + P E l 0 Z W 1 U e X B l P k Z v c m 1 1 b G E 8 L 0 l 0 Z W 1 U e X B l P j x J d G V t U G F 0 a D 5 T Z W N 0 a W 9 u M S 9 U Y W J s Z T E l M j A o M i k v U 2 9 1 c m N l P C 9 J d G V t U G F 0 a D 4 8 L 0 l 0 Z W 1 M b 2 N h d G l v b j 4 8 U 3 R h Y m x l R W 5 0 c m l l c y A v P j w v S X R l b T 4 8 S X R l b T 4 8 S X R l b U x v Y 2 F 0 a W 9 u P j x J d G V t V H l w Z T 5 G b 3 J t d W x h P C 9 J d G V t V H l w Z T 4 8 S X R l b V B h d G g + U 2 V j d G l v b j E v V G F i b G U x J T I w K D I p L 0 N o Y W 5 n Z W Q l M j B U e X B l P C 9 J d G V t U G F 0 a D 4 8 L 0 l 0 Z W 1 M b 2 N h d G l v b j 4 8 U 3 R h Y m x l R W 5 0 c m l l c y A v P j w v S X R l b T 4 8 L 0 l 0 Z W 1 z P j w v T G 9 j Y W x Q Y W N r Y W d l T W V 0 Y W R h d G F G a W x l P h Y A A A B Q S w U G A A A A A A A A A A A A A A A A A A A A A A A A J g E A A A E A A A D Q j J 3 f A R X R E Y x 6 A M B P w p f r A Q A A A L K K 9 p K r s 7 F O t 0 x k O y g f P 8 U A A A A A A g A A A A A A E G Y A A A A B A A A g A A A A f G X F s d J i M / w A 6 g U Z w S Z B f k d x U r U 9 N 5 2 I t g 8 u m 8 L c h w 4 A A A A A D o A A A A A C A A A g A A A A p s i W I 9 x P N D r s 4 I 4 l o u N v l z 0 P 5 3 n V r E w M r 3 d T K Y j d B w R Q A A A A p Y z q Y 6 C G w p Z / L 0 G U / G V C H q s H h 9 B Y y S 1 1 O C L 8 u l j n Z b 7 3 4 R I G w d 3 U B Y n + 5 Q V q m 1 w p s P j U J W g 3 9 9 R r G x 0 v x v T D h 3 y H v V 3 P 1 i 7 6 5 L d 4 W z O f 5 O t A A A A A 9 n s v v G q K U u S y s G k p J W e E 8 a 0 9 o k 6 V A k 7 A B r A 6 c P w L p n C q u F e g E G t n h a O s X 4 + h p L Z 7 U R K k + 9 2 s T D I G R H 5 F T k 2 2 3 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EC409F657CCACB4AB40B9964F84DC745" ma:contentTypeVersion="16" ma:contentTypeDescription="Create a new document." ma:contentTypeScope="" ma:versionID="fdd80e95181f5434f674b7be3362f326">
  <xsd:schema xmlns:xsd="http://www.w3.org/2001/XMLSchema" xmlns:xs="http://www.w3.org/2001/XMLSchema" xmlns:p="http://schemas.microsoft.com/office/2006/metadata/properties" xmlns:ns2="621bb50c-2477-4fb3-8d5f-534b39434adc" xmlns:ns3="dece0dbc-17cf-41d4-ad68-2e0fdd6041f4" targetNamespace="http://schemas.microsoft.com/office/2006/metadata/properties" ma:root="true" ma:fieldsID="1fd7032b4b85341838a16848208bbaab" ns2:_="" ns3:_="">
    <xsd:import namespace="621bb50c-2477-4fb3-8d5f-534b39434adc"/>
    <xsd:import namespace="dece0dbc-17cf-41d4-ad68-2e0fdd6041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1bb50c-2477-4fb3-8d5f-534b39434a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f90044c-bd6b-4bde-9440-135479d27a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ece0dbc-17cf-41d4-ad68-2e0fdd6041f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445d6d6-3e5c-44ec-aedb-dbaedbc5c3f2}" ma:internalName="TaxCatchAll" ma:showField="CatchAllData" ma:web="dece0dbc-17cf-41d4-ad68-2e0fdd604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dece0dbc-17cf-41d4-ad68-2e0fdd6041f4" xsi:nil="true"/>
    <lcf76f155ced4ddcb4097134ff3c332f xmlns="621bb50c-2477-4fb3-8d5f-534b39434a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762576D-6E9D-49B4-AE29-AC8366F49974}">
  <ds:schemaRefs>
    <ds:schemaRef ds:uri="http://schemas.microsoft.com/DataMashup"/>
  </ds:schemaRefs>
</ds:datastoreItem>
</file>

<file path=customXml/itemProps2.xml><?xml version="1.0" encoding="utf-8"?>
<ds:datastoreItem xmlns:ds="http://schemas.openxmlformats.org/officeDocument/2006/customXml" ds:itemID="{3592FB7A-A850-4929-8043-74EB64AAF6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1bb50c-2477-4fb3-8d5f-534b39434adc"/>
    <ds:schemaRef ds:uri="dece0dbc-17cf-41d4-ad68-2e0fdd604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AAB48B-D0D9-4BA4-949B-8424546A0E5E}">
  <ds:schemaRefs>
    <ds:schemaRef ds:uri="http://schemas.microsoft.com/sharepoint/v3/contenttype/forms"/>
  </ds:schemaRefs>
</ds:datastoreItem>
</file>

<file path=customXml/itemProps4.xml><?xml version="1.0" encoding="utf-8"?>
<ds:datastoreItem xmlns:ds="http://schemas.openxmlformats.org/officeDocument/2006/customXml" ds:itemID="{8B7B2A72-44D1-4FC0-AE94-D7358ADE848E}">
  <ds:schemaRefs>
    <ds:schemaRef ds:uri="http://schemas.microsoft.com/office/infopath/2007/PartnerControls"/>
    <ds:schemaRef ds:uri="621bb50c-2477-4fb3-8d5f-534b39434adc"/>
    <ds:schemaRef ds:uri="http://schemas.microsoft.com/office/2006/documentManagement/types"/>
    <ds:schemaRef ds:uri="http://purl.org/dc/elements/1.1/"/>
    <ds:schemaRef ds:uri="http://purl.org/dc/dcmitype/"/>
    <ds:schemaRef ds:uri="http://schemas.openxmlformats.org/package/2006/metadata/core-properties"/>
    <ds:schemaRef ds:uri="http://www.w3.org/XML/1998/namespace"/>
    <ds:schemaRef ds:uri="dece0dbc-17cf-41d4-ad68-2e0fdd6041f4"/>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Data Input</vt:lpstr>
      <vt:lpstr>Summary</vt:lpstr>
      <vt:lpstr>Metered Electricity</vt:lpstr>
      <vt:lpstr>Streetlighting</vt:lpstr>
      <vt:lpstr>Solar</vt:lpstr>
      <vt:lpstr>Fuel</vt:lpstr>
      <vt:lpstr>Waste</vt:lpstr>
      <vt:lpstr>Factors and Tables</vt:lpstr>
      <vt:lpstr>NGER &amp; GHG Acct Factors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Scott Morgan</cp:lastModifiedBy>
  <dcterms:created xsi:type="dcterms:W3CDTF">2022-06-29T03:02:39Z</dcterms:created>
  <dcterms:modified xsi:type="dcterms:W3CDTF">2023-05-01T06:24:03Z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0x010100EC409F657CCACB4AB40B9964F84DC745</vt:lpwstr>
  </property>
  <property fmtid="{D5CDD505-2E9C-101B-9397-08002B2CF9AE}" pid="3" name="MediaServiceImageTags">
    <vt:lpwstr/>
  </property>
</Properties>
</file>